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dta1-my.sharepoint.com/personal/simone_miller_dta_gov_au/Documents/Desktop/"/>
    </mc:Choice>
  </mc:AlternateContent>
  <xr:revisionPtr revIDLastSave="0" documentId="8_{1B2A5547-64AC-4342-91DC-CECC9C0C93DB}" xr6:coauthVersionLast="47" xr6:coauthVersionMax="47" xr10:uidLastSave="{00000000-0000-0000-0000-000000000000}"/>
  <workbookProtection workbookAlgorithmName="SHA-512" workbookHashValue="YLVN0ydW3FwgoK5iFCJcK2U48FNI86HvtJQXecQL+RpMF0Aus1M6OrY/xbzHP3SlSRjDJE6m7iuU/xLvb9VZOQ==" workbookSaltValue="XCMztSfMJlk+zxWKq5IYwQ==" workbookSpinCount="100000" lockStructure="1"/>
  <bookViews>
    <workbookView xWindow="-16560" yWindow="-103" windowWidth="16663" windowHeight="8863" tabRatio="935" xr2:uid="{00000000-000D-0000-FFFF-FFFF00000000}"/>
  </bookViews>
  <sheets>
    <sheet name="READ ME" sheetId="48" r:id="rId1"/>
    <sheet name="Guidance " sheetId="49" r:id="rId2"/>
    <sheet name="Benefit Profile 1" sheetId="23" r:id="rId3"/>
    <sheet name="Benefit Profile 2" sheetId="59" r:id="rId4"/>
    <sheet name="Benefit Profile 3" sheetId="60" r:id="rId5"/>
    <sheet name="Benefit Profile 4" sheetId="61" r:id="rId6"/>
    <sheet name="Benefit Profile 5" sheetId="62" r:id="rId7"/>
    <sheet name="Benefit Profile 6" sheetId="63" state="hidden" r:id="rId8"/>
    <sheet name="Benefit Profile 7" sheetId="64" state="hidden" r:id="rId9"/>
    <sheet name="Benefit Profile 8" sheetId="65" state="hidden" r:id="rId10"/>
    <sheet name="Benefit Profile 9" sheetId="66" state="hidden" r:id="rId11"/>
    <sheet name="Benefit Profile 10" sheetId="67" state="hidden" r:id="rId12"/>
    <sheet name="Validation Table" sheetId="37" state="hidden" r:id="rId13"/>
    <sheet name="0. PortfolioAgencyLinks" sheetId="5" state="hidden" r:id="rId14"/>
  </sheets>
  <definedNames>
    <definedName name="_xlnm._FilterDatabase" localSheetId="13" hidden="1">'0. PortfolioAgencyLinks'!$T$1:$U$192</definedName>
    <definedName name="Attorney_General’s">'0. PortfolioAgencyLinks'!$B$2:$B$31</definedName>
    <definedName name="Capability" localSheetId="2">Veterans27[Climate Change, Energy, the Environment and Water]</definedName>
    <definedName name="Capability" localSheetId="11">Veterans27[Climate Change, Energy, the Environment and Water]</definedName>
    <definedName name="Capability" localSheetId="3">Veterans27[Climate Change, Energy, the Environment and Water]</definedName>
    <definedName name="Capability" localSheetId="4">Veterans27[Climate Change, Energy, the Environment and Water]</definedName>
    <definedName name="Capability" localSheetId="5">Veterans27[Climate Change, Energy, the Environment and Water]</definedName>
    <definedName name="Capability" localSheetId="6">Veterans27[Climate Change, Energy, the Environment and Water]</definedName>
    <definedName name="Capability" localSheetId="7">Veterans27[Climate Change, Energy, the Environment and Water]</definedName>
    <definedName name="Capability" localSheetId="8">Veterans27[Climate Change, Energy, the Environment and Water]</definedName>
    <definedName name="Capability" localSheetId="9">Veterans27[Climate Change, Energy, the Environment and Water]</definedName>
    <definedName name="Capability" localSheetId="10">Veterans27[Climate Change, Energy, the Environment and Water]</definedName>
    <definedName name="Capability">Veterans27[Climate Change, Energy, the Environment and Water]</definedName>
    <definedName name="CCEEW">'0. PortfolioAgencyLinks'!$C$2:$C$14</definedName>
    <definedName name="Climate_Change__Energy__the_Environment_and_Water">'0. PortfolioAgencyLinks'!$C$2:$C$30</definedName>
    <definedName name="Education" localSheetId="2">Veterans38[Education]</definedName>
    <definedName name="Education" localSheetId="11">Veterans38[Education]</definedName>
    <definedName name="Education" localSheetId="3">Veterans38[Education]</definedName>
    <definedName name="Education" localSheetId="4">Veterans38[Education]</definedName>
    <definedName name="Education" localSheetId="5">Veterans38[Education]</definedName>
    <definedName name="Education" localSheetId="6">Veterans38[Education]</definedName>
    <definedName name="Education" localSheetId="7">Veterans38[Education]</definedName>
    <definedName name="Education" localSheetId="8">Veterans38[Education]</definedName>
    <definedName name="Education" localSheetId="9">Veterans38[Education]</definedName>
    <definedName name="Education" localSheetId="10">Veterans38[Education]</definedName>
    <definedName name="Education">Veterans38[Education]</definedName>
    <definedName name="Employment" localSheetId="2">EduEmp69[Employment and Workplace Relations]</definedName>
    <definedName name="Employment" localSheetId="11">EduEmp69[Employment and Workplace Relations]</definedName>
    <definedName name="Employment" localSheetId="3">EduEmp69[Employment and Workplace Relations]</definedName>
    <definedName name="Employment" localSheetId="4">EduEmp69[Employment and Workplace Relations]</definedName>
    <definedName name="Employment" localSheetId="5">EduEmp69[Employment and Workplace Relations]</definedName>
    <definedName name="Employment" localSheetId="6">EduEmp69[Employment and Workplace Relations]</definedName>
    <definedName name="Employment" localSheetId="7">EduEmp69[Employment and Workplace Relations]</definedName>
    <definedName name="Employment" localSheetId="8">EduEmp69[Employment and Workplace Relations]</definedName>
    <definedName name="Employment" localSheetId="9">EduEmp69[Employment and Workplace Relations]</definedName>
    <definedName name="Employment" localSheetId="10">EduEmp69[Employment and Workplace Relations]</definedName>
    <definedName name="Employment">EduEmp69[Employment and Workplace Relations]</definedName>
    <definedName name="Health" localSheetId="2">Table7[Health and Aged Care]</definedName>
    <definedName name="Health" localSheetId="11">Table7[Health and Aged Care]</definedName>
    <definedName name="Health" localSheetId="3">Table7[Health and Aged Care]</definedName>
    <definedName name="Health" localSheetId="4">Table7[Health and Aged Care]</definedName>
    <definedName name="Health" localSheetId="5">Table7[Health and Aged Care]</definedName>
    <definedName name="Health" localSheetId="6">Table7[Health and Aged Care]</definedName>
    <definedName name="Health" localSheetId="7">Table7[Health and Aged Care]</definedName>
    <definedName name="Health" localSheetId="8">Table7[Health and Aged Care]</definedName>
    <definedName name="Health" localSheetId="9">Table7[Health and Aged Care]</definedName>
    <definedName name="Health" localSheetId="10">Table7[Health and Aged Care]</definedName>
    <definedName name="Health">Table7[Health and Aged Care]</definedName>
    <definedName name="Infra" localSheetId="2">Table10[Infrastructure, Transport, Regional Development, Communications and the Arts]</definedName>
    <definedName name="Infra" localSheetId="11">Table10[Infrastructure, Transport, Regional Development, Communications and the Arts]</definedName>
    <definedName name="Infra" localSheetId="3">Table10[Infrastructure, Transport, Regional Development, Communications and the Arts]</definedName>
    <definedName name="Infra" localSheetId="4">Table10[Infrastructure, Transport, Regional Development, Communications and the Arts]</definedName>
    <definedName name="Infra" localSheetId="5">Table10[Infrastructure, Transport, Regional Development, Communications and the Arts]</definedName>
    <definedName name="Infra" localSheetId="6">Table10[Infrastructure, Transport, Regional Development, Communications and the Arts]</definedName>
    <definedName name="Infra" localSheetId="7">Table10[Infrastructure, Transport, Regional Development, Communications and the Arts]</definedName>
    <definedName name="Infra" localSheetId="8">Table10[Infrastructure, Transport, Regional Development, Communications and the Arts]</definedName>
    <definedName name="Infra" localSheetId="9">Table10[Infrastructure, Transport, Regional Development, Communications and the Arts]</definedName>
    <definedName name="Infra" localSheetId="10">Table10[Infrastructure, Transport, Regional Development, Communications and the Arts]</definedName>
    <definedName name="Infra">Table10[Infrastructure, Transport, Regional Development, Communications and the Arts]</definedName>
    <definedName name="ISR" localSheetId="2">ISER[Industry, Science and Resources]</definedName>
    <definedName name="ISR" localSheetId="11">ISER[Industry, Science and Resources]</definedName>
    <definedName name="ISR" localSheetId="3">ISER[Industry, Science and Resources]</definedName>
    <definedName name="ISR" localSheetId="4">ISER[Industry, Science and Resources]</definedName>
    <definedName name="ISR" localSheetId="5">ISER[Industry, Science and Resources]</definedName>
    <definedName name="ISR" localSheetId="6">ISER[Industry, Science and Resources]</definedName>
    <definedName name="ISR" localSheetId="7">ISER[Industry, Science and Resources]</definedName>
    <definedName name="ISR" localSheetId="8">ISER[Industry, Science and Resources]</definedName>
    <definedName name="ISR" localSheetId="9">ISER[Industry, Science and Resources]</definedName>
    <definedName name="ISR" localSheetId="10">ISER[Industry, Science and Resources]</definedName>
    <definedName name="ISR">ISER[Industry, Science and Resources]</definedName>
    <definedName name="ITRDCA" localSheetId="2">Table10[Infrastructure, Transport, Regional Development, Communications and the Arts]</definedName>
    <definedName name="ITRDCA" localSheetId="11">Table10[Infrastructure, Transport, Regional Development, Communications and the Arts]</definedName>
    <definedName name="ITRDCA" localSheetId="3">Table10[Infrastructure, Transport, Regional Development, Communications and the Arts]</definedName>
    <definedName name="ITRDCA" localSheetId="4">Table10[Infrastructure, Transport, Regional Development, Communications and the Arts]</definedName>
    <definedName name="ITRDCA" localSheetId="5">Table10[Infrastructure, Transport, Regional Development, Communications and the Arts]</definedName>
    <definedName name="ITRDCA" localSheetId="6">Table10[Infrastructure, Transport, Regional Development, Communications and the Arts]</definedName>
    <definedName name="ITRDCA" localSheetId="7">Table10[Infrastructure, Transport, Regional Development, Communications and the Arts]</definedName>
    <definedName name="ITRDCA" localSheetId="8">Table10[Infrastructure, Transport, Regional Development, Communications and the Arts]</definedName>
    <definedName name="ITRDCA" localSheetId="9">Table10[Infrastructure, Transport, Regional Development, Communications and the Arts]</definedName>
    <definedName name="ITRDCA" localSheetId="10">Table10[Infrastructure, Transport, Regional Development, Communications and the Arts]</definedName>
    <definedName name="ITRDCA">Table10[Infrastructure, Transport, Regional Development, Communications and the Arts]</definedName>
    <definedName name="Parl" localSheetId="2">Table11[Parliamentary Departments]</definedName>
    <definedName name="Parl" localSheetId="11">Table11[Parliamentary Departments]</definedName>
    <definedName name="Parl" localSheetId="3">Table11[Parliamentary Departments]</definedName>
    <definedName name="Parl" localSheetId="4">Table11[Parliamentary Departments]</definedName>
    <definedName name="Parl" localSheetId="5">Table11[Parliamentary Departments]</definedName>
    <definedName name="Parl" localSheetId="6">Table11[Parliamentary Departments]</definedName>
    <definedName name="Parl" localSheetId="7">Table11[Parliamentary Departments]</definedName>
    <definedName name="Parl" localSheetId="8">Table11[Parliamentary Departments]</definedName>
    <definedName name="Parl" localSheetId="9">Table11[Parliamentary Departments]</definedName>
    <definedName name="Parl" localSheetId="10">Table11[Parliamentary Departments]</definedName>
    <definedName name="Parl">Table11[Parliamentary Departments]</definedName>
    <definedName name="PMC" localSheetId="2">Table12[Prime Minister and Cabinet]</definedName>
    <definedName name="PMC" localSheetId="11">Table12[Prime Minister and Cabinet]</definedName>
    <definedName name="PMC" localSheetId="3">Table12[Prime Minister and Cabinet]</definedName>
    <definedName name="PMC" localSheetId="4">Table12[Prime Minister and Cabinet]</definedName>
    <definedName name="PMC" localSheetId="5">Table12[Prime Minister and Cabinet]</definedName>
    <definedName name="PMC" localSheetId="6">Table12[Prime Minister and Cabinet]</definedName>
    <definedName name="PMC" localSheetId="7">Table12[Prime Minister and Cabinet]</definedName>
    <definedName name="PMC" localSheetId="8">Table12[Prime Minister and Cabinet]</definedName>
    <definedName name="PMC" localSheetId="9">Table12[Prime Minister and Cabinet]</definedName>
    <definedName name="PMC" localSheetId="10">Table12[Prime Minister and Cabinet]</definedName>
    <definedName name="PMC">Table12[Prime Minister and Cabinet]</definedName>
    <definedName name="_xlnm.Print_Area" localSheetId="2">'Benefit Profile 1'!$B$1:$H$74</definedName>
    <definedName name="_xlnm.Print_Area" localSheetId="11">'Benefit Profile 10'!$B$1:$H$74</definedName>
    <definedName name="_xlnm.Print_Area" localSheetId="3">'Benefit Profile 2'!$B$1:$H$74</definedName>
    <definedName name="_xlnm.Print_Area" localSheetId="4">'Benefit Profile 3'!$B$1:$H$74</definedName>
    <definedName name="_xlnm.Print_Area" localSheetId="5">'Benefit Profile 4'!$B$1:$H$74</definedName>
    <definedName name="_xlnm.Print_Area" localSheetId="6">'Benefit Profile 5'!$B$1:$H$74</definedName>
    <definedName name="_xlnm.Print_Area" localSheetId="7">'Benefit Profile 6'!$B$1:$H$74</definedName>
    <definedName name="_xlnm.Print_Area" localSheetId="8">'Benefit Profile 7'!$B$1:$H$74</definedName>
    <definedName name="_xlnm.Print_Area" localSheetId="9">'Benefit Profile 8'!$B$1:$H$74</definedName>
    <definedName name="_xlnm.Print_Area" localSheetId="10">'Benefit Profile 9'!$B$1:$H$74</definedName>
    <definedName name="_xlnm.Print_Area" localSheetId="1">'Guidance '!$B$2:$D$62</definedName>
    <definedName name="_xlnm.Print_Area" localSheetId="0">'READ ME'!$A$1:$K$44</definedName>
    <definedName name="Social" localSheetId="2">Table13[Social Services]</definedName>
    <definedName name="Social" localSheetId="11">Table13[Social Services]</definedName>
    <definedName name="Social" localSheetId="3">Table13[Social Services]</definedName>
    <definedName name="Social" localSheetId="4">Table13[Social Services]</definedName>
    <definedName name="Social" localSheetId="5">Table13[Social Services]</definedName>
    <definedName name="Social" localSheetId="6">Table13[Social Services]</definedName>
    <definedName name="Social" localSheetId="7">Table13[Social Services]</definedName>
    <definedName name="Social" localSheetId="8">Table13[Social Services]</definedName>
    <definedName name="Social" localSheetId="9">Table13[Social Services]</definedName>
    <definedName name="Social" localSheetId="10">Table13[Social Services]</definedName>
    <definedName name="Social">Table13[Social Services]</definedName>
    <definedName name="Treasury" localSheetId="2">Table14[Treasury]</definedName>
    <definedName name="Treasury" localSheetId="11">Table14[Treasury]</definedName>
    <definedName name="Treasury" localSheetId="3">Table14[Treasury]</definedName>
    <definedName name="Treasury" localSheetId="4">Table14[Treasury]</definedName>
    <definedName name="Treasury" localSheetId="5">Table14[Treasury]</definedName>
    <definedName name="Treasury" localSheetId="6">Table14[Treasury]</definedName>
    <definedName name="Treasury" localSheetId="7">Table14[Treasury]</definedName>
    <definedName name="Treasury" localSheetId="8">Table14[Treasury]</definedName>
    <definedName name="Treasury" localSheetId="9">Table14[Treasury]</definedName>
    <definedName name="Treasury" localSheetId="10">Table14[Treasury]</definedName>
    <definedName name="Treasury">Table14[Treasury]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2" l="1"/>
  <c r="G56" i="62" s="1"/>
  <c r="G19" i="67"/>
  <c r="H19" i="67"/>
  <c r="G20" i="67"/>
  <c r="H20" i="67"/>
  <c r="G18" i="67"/>
  <c r="H22" i="67"/>
  <c r="G22" i="67"/>
  <c r="H18" i="67"/>
  <c r="H22" i="66"/>
  <c r="G22" i="66"/>
  <c r="H20" i="66"/>
  <c r="G20" i="66"/>
  <c r="H19" i="66"/>
  <c r="G19" i="66"/>
  <c r="H18" i="66"/>
  <c r="G18" i="66"/>
  <c r="H22" i="65"/>
  <c r="G22" i="65"/>
  <c r="H20" i="65"/>
  <c r="G20" i="65"/>
  <c r="H19" i="65"/>
  <c r="G19" i="65"/>
  <c r="H18" i="65"/>
  <c r="G18" i="65"/>
  <c r="H22" i="64"/>
  <c r="G22" i="64"/>
  <c r="H20" i="64"/>
  <c r="G20" i="64"/>
  <c r="H19" i="64"/>
  <c r="G19" i="64"/>
  <c r="H18" i="64"/>
  <c r="G18" i="64"/>
  <c r="H22" i="63"/>
  <c r="G22" i="63"/>
  <c r="H20" i="63"/>
  <c r="G20" i="63"/>
  <c r="H19" i="63"/>
  <c r="G19" i="63"/>
  <c r="H18" i="63"/>
  <c r="G18" i="63"/>
  <c r="H22" i="62"/>
  <c r="G22" i="62"/>
  <c r="H20" i="62"/>
  <c r="G20" i="62"/>
  <c r="H19" i="62"/>
  <c r="G19" i="62"/>
  <c r="H18" i="62"/>
  <c r="G18" i="62"/>
  <c r="H22" i="61"/>
  <c r="G22" i="61"/>
  <c r="H20" i="61"/>
  <c r="G20" i="61"/>
  <c r="H19" i="61"/>
  <c r="G19" i="61"/>
  <c r="H18" i="61"/>
  <c r="G18" i="61"/>
  <c r="H22" i="60"/>
  <c r="G22" i="60"/>
  <c r="H20" i="60"/>
  <c r="G20" i="60"/>
  <c r="H19" i="60"/>
  <c r="G19" i="60"/>
  <c r="H18" i="60"/>
  <c r="G18" i="60"/>
  <c r="H20" i="59"/>
  <c r="H19" i="59"/>
  <c r="H18" i="59"/>
  <c r="G18" i="59"/>
  <c r="G20" i="59"/>
  <c r="G19" i="59"/>
  <c r="G22" i="59"/>
  <c r="D45" i="59"/>
  <c r="C45" i="59"/>
  <c r="H22" i="59"/>
  <c r="C45" i="23"/>
  <c r="G136" i="67"/>
  <c r="C136" i="67"/>
  <c r="G135" i="67"/>
  <c r="C135" i="67"/>
  <c r="G134" i="67"/>
  <c r="C134" i="67"/>
  <c r="G133" i="67"/>
  <c r="C133" i="67"/>
  <c r="H66" i="67"/>
  <c r="G66" i="67"/>
  <c r="D66" i="67"/>
  <c r="C66" i="67"/>
  <c r="H45" i="67"/>
  <c r="G45" i="67"/>
  <c r="D45" i="67"/>
  <c r="C45" i="67"/>
  <c r="H29" i="67"/>
  <c r="G29" i="67"/>
  <c r="H28" i="67"/>
  <c r="G28" i="67"/>
  <c r="C14" i="67"/>
  <c r="C13" i="67"/>
  <c r="C12" i="67"/>
  <c r="C11" i="67"/>
  <c r="C10" i="67"/>
  <c r="H56" i="67" s="1"/>
  <c r="G136" i="66"/>
  <c r="C136" i="66"/>
  <c r="G135" i="66"/>
  <c r="C135" i="66"/>
  <c r="G134" i="66"/>
  <c r="C134" i="66"/>
  <c r="G133" i="66"/>
  <c r="C133" i="66"/>
  <c r="H66" i="66"/>
  <c r="G66" i="66"/>
  <c r="D66" i="66"/>
  <c r="C66" i="66"/>
  <c r="H45" i="66"/>
  <c r="G45" i="66"/>
  <c r="D45" i="66"/>
  <c r="C45" i="66"/>
  <c r="H29" i="66"/>
  <c r="G29" i="66"/>
  <c r="H28" i="66"/>
  <c r="G28" i="66"/>
  <c r="C14" i="66"/>
  <c r="C13" i="66"/>
  <c r="C12" i="66"/>
  <c r="C11" i="66"/>
  <c r="C10" i="66"/>
  <c r="G56" i="66" s="1"/>
  <c r="G136" i="65"/>
  <c r="C136" i="65"/>
  <c r="G135" i="65"/>
  <c r="C135" i="65"/>
  <c r="G134" i="65"/>
  <c r="C134" i="65"/>
  <c r="G133" i="65"/>
  <c r="C133" i="65"/>
  <c r="H66" i="65"/>
  <c r="G66" i="65"/>
  <c r="D66" i="65"/>
  <c r="C66" i="65"/>
  <c r="H45" i="65"/>
  <c r="G45" i="65"/>
  <c r="D45" i="65"/>
  <c r="C45" i="65"/>
  <c r="H29" i="65"/>
  <c r="G29" i="65"/>
  <c r="H28" i="65"/>
  <c r="G28" i="65"/>
  <c r="C14" i="65"/>
  <c r="C13" i="65"/>
  <c r="C12" i="65"/>
  <c r="C11" i="65"/>
  <c r="C10" i="65"/>
  <c r="C35" i="65" s="1"/>
  <c r="C18" i="23"/>
  <c r="G136" i="64"/>
  <c r="C136" i="64"/>
  <c r="G135" i="64"/>
  <c r="C135" i="64"/>
  <c r="G134" i="64"/>
  <c r="C134" i="64"/>
  <c r="G133" i="64"/>
  <c r="C133" i="64"/>
  <c r="H66" i="64"/>
  <c r="G66" i="64"/>
  <c r="D66" i="64"/>
  <c r="C66" i="64"/>
  <c r="H45" i="64"/>
  <c r="G45" i="64"/>
  <c r="D45" i="64"/>
  <c r="C45" i="64"/>
  <c r="H29" i="64"/>
  <c r="G29" i="64"/>
  <c r="H28" i="64"/>
  <c r="G28" i="64"/>
  <c r="C14" i="64"/>
  <c r="C13" i="64"/>
  <c r="C12" i="64"/>
  <c r="C11" i="64"/>
  <c r="C10" i="64"/>
  <c r="C35" i="64" s="1"/>
  <c r="D35" i="23"/>
  <c r="G136" i="63"/>
  <c r="C136" i="63"/>
  <c r="G135" i="63"/>
  <c r="C135" i="63"/>
  <c r="G134" i="63"/>
  <c r="C134" i="63"/>
  <c r="G133" i="63"/>
  <c r="C133" i="63"/>
  <c r="H66" i="63"/>
  <c r="G66" i="63"/>
  <c r="D66" i="63"/>
  <c r="C66" i="63"/>
  <c r="H45" i="63"/>
  <c r="G45" i="63"/>
  <c r="D45" i="63"/>
  <c r="C45" i="63"/>
  <c r="H29" i="63"/>
  <c r="G29" i="63"/>
  <c r="H28" i="63"/>
  <c r="G28" i="63"/>
  <c r="C14" i="63"/>
  <c r="C13" i="63"/>
  <c r="C12" i="63"/>
  <c r="C11" i="63"/>
  <c r="C10" i="63"/>
  <c r="G35" i="63" s="1"/>
  <c r="G136" i="62"/>
  <c r="C136" i="62"/>
  <c r="G135" i="62"/>
  <c r="C135" i="62"/>
  <c r="G134" i="62"/>
  <c r="C134" i="62"/>
  <c r="G133" i="62"/>
  <c r="C133" i="62"/>
  <c r="H66" i="62"/>
  <c r="G66" i="62"/>
  <c r="D66" i="62"/>
  <c r="C66" i="62"/>
  <c r="H45" i="62"/>
  <c r="G45" i="62"/>
  <c r="D45" i="62"/>
  <c r="C45" i="62"/>
  <c r="H29" i="62"/>
  <c r="G29" i="62"/>
  <c r="H28" i="62"/>
  <c r="G28" i="62"/>
  <c r="C14" i="62"/>
  <c r="C13" i="62"/>
  <c r="C12" i="62"/>
  <c r="C11" i="62"/>
  <c r="G136" i="61"/>
  <c r="C136" i="61"/>
  <c r="G135" i="61"/>
  <c r="C135" i="61"/>
  <c r="G134" i="61"/>
  <c r="C134" i="61"/>
  <c r="G133" i="61"/>
  <c r="C133" i="61"/>
  <c r="H66" i="61"/>
  <c r="G66" i="61"/>
  <c r="D66" i="61"/>
  <c r="C66" i="61"/>
  <c r="H45" i="61"/>
  <c r="G45" i="61"/>
  <c r="D45" i="61"/>
  <c r="C45" i="61"/>
  <c r="H29" i="61"/>
  <c r="G29" i="61"/>
  <c r="H28" i="61"/>
  <c r="G28" i="61"/>
  <c r="C14" i="61"/>
  <c r="C13" i="61"/>
  <c r="C12" i="61"/>
  <c r="C11" i="61"/>
  <c r="C10" i="61"/>
  <c r="H35" i="61" s="1"/>
  <c r="G136" i="60"/>
  <c r="C136" i="60"/>
  <c r="G135" i="60"/>
  <c r="C135" i="60"/>
  <c r="G134" i="60"/>
  <c r="C134" i="60"/>
  <c r="G133" i="60"/>
  <c r="C133" i="60"/>
  <c r="H66" i="60"/>
  <c r="G66" i="60"/>
  <c r="D66" i="60"/>
  <c r="C66" i="60"/>
  <c r="H45" i="60"/>
  <c r="G45" i="60"/>
  <c r="D45" i="60"/>
  <c r="C45" i="60"/>
  <c r="H29" i="60"/>
  <c r="G29" i="60"/>
  <c r="H28" i="60"/>
  <c r="G28" i="60"/>
  <c r="C14" i="60"/>
  <c r="C13" i="60"/>
  <c r="C12" i="60"/>
  <c r="C11" i="60"/>
  <c r="C10" i="60"/>
  <c r="H56" i="60" s="1"/>
  <c r="H66" i="59"/>
  <c r="G66" i="59"/>
  <c r="D66" i="59"/>
  <c r="C66" i="59"/>
  <c r="C66" i="23"/>
  <c r="H45" i="59"/>
  <c r="H66" i="23"/>
  <c r="G66" i="23"/>
  <c r="D66" i="23"/>
  <c r="H45" i="23"/>
  <c r="G45" i="23"/>
  <c r="D45" i="23"/>
  <c r="H35" i="23"/>
  <c r="H29" i="23"/>
  <c r="H28" i="23"/>
  <c r="G28" i="23"/>
  <c r="H56" i="23"/>
  <c r="D56" i="23"/>
  <c r="G140" i="66" l="1"/>
  <c r="H30" i="66" s="1"/>
  <c r="C140" i="67"/>
  <c r="G30" i="67" s="1"/>
  <c r="G140" i="67"/>
  <c r="H30" i="67" s="1"/>
  <c r="C140" i="66"/>
  <c r="G30" i="66" s="1"/>
  <c r="C140" i="65"/>
  <c r="G30" i="65" s="1"/>
  <c r="G140" i="65"/>
  <c r="H30" i="65" s="1"/>
  <c r="G140" i="64"/>
  <c r="H30" i="64" s="1"/>
  <c r="C138" i="64"/>
  <c r="G138" i="63"/>
  <c r="G140" i="63"/>
  <c r="H30" i="63" s="1"/>
  <c r="C140" i="63"/>
  <c r="G30" i="63" s="1"/>
  <c r="C140" i="62"/>
  <c r="G30" i="62" s="1"/>
  <c r="G140" i="62"/>
  <c r="H30" i="62" s="1"/>
  <c r="C140" i="61"/>
  <c r="G30" i="61" s="1"/>
  <c r="G140" i="61"/>
  <c r="H30" i="61" s="1"/>
  <c r="G140" i="60"/>
  <c r="H30" i="60" s="1"/>
  <c r="C140" i="60"/>
  <c r="G30" i="60" s="1"/>
  <c r="D18" i="66"/>
  <c r="D35" i="66"/>
  <c r="G35" i="66"/>
  <c r="H56" i="66"/>
  <c r="C35" i="66"/>
  <c r="D35" i="65"/>
  <c r="H35" i="66"/>
  <c r="G35" i="65"/>
  <c r="H35" i="65"/>
  <c r="C56" i="65"/>
  <c r="C35" i="67"/>
  <c r="D35" i="67"/>
  <c r="C18" i="65"/>
  <c r="G56" i="65"/>
  <c r="C56" i="66"/>
  <c r="G35" i="67"/>
  <c r="D56" i="65"/>
  <c r="D18" i="65"/>
  <c r="H56" i="65"/>
  <c r="D56" i="66"/>
  <c r="H35" i="67"/>
  <c r="C18" i="66"/>
  <c r="C56" i="67"/>
  <c r="D56" i="67"/>
  <c r="C18" i="67"/>
  <c r="G56" i="67"/>
  <c r="D18" i="67"/>
  <c r="C138" i="67"/>
  <c r="G138" i="67"/>
  <c r="C138" i="66"/>
  <c r="G138" i="66"/>
  <c r="C138" i="65"/>
  <c r="G138" i="65"/>
  <c r="C18" i="62"/>
  <c r="D18" i="63"/>
  <c r="D18" i="62"/>
  <c r="G56" i="63"/>
  <c r="D35" i="62"/>
  <c r="H56" i="62"/>
  <c r="G35" i="62"/>
  <c r="D35" i="64"/>
  <c r="G35" i="64"/>
  <c r="C35" i="63"/>
  <c r="H35" i="64"/>
  <c r="C18" i="61"/>
  <c r="H35" i="63"/>
  <c r="C56" i="64"/>
  <c r="D56" i="64"/>
  <c r="H56" i="63"/>
  <c r="C18" i="64"/>
  <c r="G56" i="64"/>
  <c r="G56" i="61"/>
  <c r="C56" i="63"/>
  <c r="D18" i="64"/>
  <c r="H56" i="64"/>
  <c r="G35" i="61"/>
  <c r="C56" i="62"/>
  <c r="C140" i="64"/>
  <c r="G30" i="64" s="1"/>
  <c r="G138" i="64"/>
  <c r="C56" i="61"/>
  <c r="D56" i="61"/>
  <c r="C35" i="62"/>
  <c r="C18" i="63"/>
  <c r="D56" i="63"/>
  <c r="H56" i="61"/>
  <c r="C35" i="61"/>
  <c r="H35" i="62"/>
  <c r="D35" i="63"/>
  <c r="D56" i="62"/>
  <c r="D18" i="61"/>
  <c r="D35" i="61"/>
  <c r="C138" i="63"/>
  <c r="C138" i="62"/>
  <c r="G138" i="62"/>
  <c r="C138" i="61"/>
  <c r="G138" i="61"/>
  <c r="C35" i="60"/>
  <c r="D35" i="60"/>
  <c r="H35" i="60"/>
  <c r="G35" i="60"/>
  <c r="C56" i="60"/>
  <c r="D56" i="60"/>
  <c r="C18" i="60"/>
  <c r="G56" i="60"/>
  <c r="D18" i="60"/>
  <c r="C138" i="60"/>
  <c r="G138" i="60"/>
  <c r="D18" i="23"/>
  <c r="G45" i="59"/>
  <c r="C10" i="59"/>
  <c r="C11" i="59"/>
  <c r="C12" i="59"/>
  <c r="G29" i="23"/>
  <c r="C35" i="23"/>
  <c r="G35" i="23"/>
  <c r="C56" i="23"/>
  <c r="G56" i="23"/>
  <c r="C133" i="23"/>
  <c r="G133" i="23"/>
  <c r="C134" i="23"/>
  <c r="G134" i="23"/>
  <c r="C135" i="23"/>
  <c r="G135" i="23"/>
  <c r="C136" i="23"/>
  <c r="G136" i="23"/>
  <c r="C14" i="59"/>
  <c r="C13" i="59"/>
  <c r="G136" i="59"/>
  <c r="C136" i="59"/>
  <c r="G135" i="59"/>
  <c r="C135" i="59"/>
  <c r="G134" i="59"/>
  <c r="C134" i="59"/>
  <c r="G133" i="59"/>
  <c r="C133" i="59"/>
  <c r="H29" i="59"/>
  <c r="G29" i="59"/>
  <c r="H28" i="59"/>
  <c r="G28" i="59"/>
  <c r="G35" i="59" l="1"/>
  <c r="D35" i="59"/>
  <c r="H56" i="59"/>
  <c r="D56" i="59"/>
  <c r="H35" i="59"/>
  <c r="C18" i="59"/>
  <c r="D18" i="59"/>
  <c r="C35" i="59"/>
  <c r="G140" i="59"/>
  <c r="H30" i="59" s="1"/>
  <c r="G140" i="23"/>
  <c r="H30" i="23" s="1"/>
  <c r="C140" i="23"/>
  <c r="G30" i="23" s="1"/>
  <c r="C140" i="59"/>
  <c r="G30" i="59" s="1"/>
  <c r="C138" i="23"/>
  <c r="G138" i="23"/>
  <c r="C56" i="59"/>
  <c r="G56" i="59"/>
  <c r="C138" i="59"/>
  <c r="G138" i="59"/>
</calcChain>
</file>

<file path=xl/sharedStrings.xml><?xml version="1.0" encoding="utf-8"?>
<sst xmlns="http://schemas.openxmlformats.org/spreadsheetml/2006/main" count="2581" uniqueCount="481">
  <si>
    <t>Benefit Profile Template</t>
  </si>
  <si>
    <t>What is a benefit profile?</t>
  </si>
  <si>
    <t>A benefit profile is the document used to record and reach agreement (with the Benefit Owner) on the key details about a benefit (or disbenefit), including categorisation, measures, calculation, baseline, target, and any dependencies.</t>
  </si>
  <si>
    <t>Purpose</t>
  </si>
  <si>
    <t>What is the Benefits Management Policy?</t>
  </si>
  <si>
    <t>How does the DTA use the data in the benefit profile template?</t>
  </si>
  <si>
    <t xml:space="preserve">This data will be included in current Assurance reporting to Government. Benefit realisation performance will be used to assess whether an investment remains on track to deliver forecast benefits. 
Accountable benefit owners will receive requests to update benefit profiles before, during and after project delivery, until all benefits have been realised (as forecast in the realisation end date). </t>
  </si>
  <si>
    <t>Guidance</t>
  </si>
  <si>
    <t xml:space="preserve">Other useful tools, templates and guidance  </t>
  </si>
  <si>
    <t>Benefits Management Policy</t>
  </si>
  <si>
    <t>Benefits Management tools and templates</t>
  </si>
  <si>
    <t>Data and Digital Government Strategy (DDGS Missions)</t>
  </si>
  <si>
    <t>Contact</t>
  </si>
  <si>
    <t>investment@dta.gov.au</t>
  </si>
  <si>
    <t>for proposed and inflight investment proposals, including DCAP enquiries</t>
  </si>
  <si>
    <t>benefits.management@dta.gov.au</t>
  </si>
  <si>
    <t>for queries relating to the Benefits Management Policy</t>
  </si>
  <si>
    <t xml:space="preserve">Updates to the Benefit Profile Template </t>
  </si>
  <si>
    <t>August 2024</t>
  </si>
  <si>
    <t>1. Inclusion of the following fields:</t>
  </si>
  <si>
    <t xml:space="preserve">     •   'Lead policy agency', 'delivery agency' and 'other agencies' (for multi-agency investments).</t>
  </si>
  <si>
    <t xml:space="preserve">     •   Benefit Owner name, email and position.</t>
  </si>
  <si>
    <t xml:space="preserve">     •   Benefit sub-types - 'end-state', 'intermediate', 'emergent'  and 'disbenefits'.</t>
  </si>
  <si>
    <t>2. Addition of a benefit summary table to track full benefit realisation (all measures).</t>
  </si>
  <si>
    <t xml:space="preserve">3. New measure fields  - 'measure owner', 'measure unit', 'assumptions', 'constraints', 'dependencies'. </t>
  </si>
  <si>
    <t>5. Formatting and repositioning of some fields for readability.</t>
  </si>
  <si>
    <r>
      <rPr>
        <b/>
        <sz val="28"/>
        <color theme="0"/>
        <rFont val="Calibri"/>
        <family val="2"/>
        <scheme val="minor"/>
      </rPr>
      <t>GUIDANCE</t>
    </r>
    <r>
      <rPr>
        <b/>
        <sz val="22"/>
        <color theme="0"/>
        <rFont val="Calibri"/>
        <family val="2"/>
        <scheme val="minor"/>
      </rPr>
      <t xml:space="preserve"> -  </t>
    </r>
    <r>
      <rPr>
        <b/>
        <sz val="16"/>
        <color theme="0"/>
        <rFont val="Calibri"/>
        <family val="2"/>
        <scheme val="minor"/>
      </rPr>
      <t>For assistance in completing the benefit profile template</t>
    </r>
  </si>
  <si>
    <t>GENERAL</t>
  </si>
  <si>
    <t>INVESTMENT DETAILS</t>
  </si>
  <si>
    <t>DTA Investment ID</t>
  </si>
  <si>
    <t>Investment Name</t>
  </si>
  <si>
    <t>Lead Policy Agency</t>
  </si>
  <si>
    <r>
      <t xml:space="preserve">The agency that will </t>
    </r>
    <r>
      <rPr>
        <b/>
        <sz val="11"/>
        <color rgb="FF414141"/>
        <rFont val="Calibri"/>
        <family val="2"/>
        <scheme val="minor"/>
      </rPr>
      <t>realise benefits</t>
    </r>
    <r>
      <rPr>
        <sz val="11"/>
        <color rgb="FF414141"/>
        <rFont val="Calibri"/>
        <family val="2"/>
        <scheme val="minor"/>
      </rPr>
      <t xml:space="preserve"> from the project and is </t>
    </r>
    <r>
      <rPr>
        <b/>
        <sz val="11"/>
        <color rgb="FF414141"/>
        <rFont val="Calibri"/>
        <family val="2"/>
        <scheme val="minor"/>
      </rPr>
      <t>accountable</t>
    </r>
    <r>
      <rPr>
        <sz val="11"/>
        <color rgb="FF414141"/>
        <rFont val="Calibri"/>
        <family val="2"/>
        <scheme val="minor"/>
      </rPr>
      <t xml:space="preserve"> for benefits management and realisation.</t>
    </r>
  </si>
  <si>
    <t>Delivery Agency</t>
  </si>
  <si>
    <t>Other Agencies (applies for cross-agency investments)</t>
  </si>
  <si>
    <r>
      <t xml:space="preserve">Agencies, other than the lead policy agency, who will also realise benefits from the project. </t>
    </r>
    <r>
      <rPr>
        <b/>
        <sz val="11"/>
        <color rgb="FF414141"/>
        <rFont val="Calibri"/>
        <family val="2"/>
        <scheme val="minor"/>
      </rPr>
      <t>Works with</t>
    </r>
    <r>
      <rPr>
        <sz val="11"/>
        <color rgb="FF414141"/>
        <rFont val="Calibri"/>
        <family val="2"/>
        <scheme val="minor"/>
      </rPr>
      <t xml:space="preserve"> the lead policy agency to determine responsibilities for benefits management and realisation. </t>
    </r>
    <r>
      <rPr>
        <b/>
        <sz val="11"/>
        <color rgb="FF414141"/>
        <rFont val="Calibri"/>
        <family val="2"/>
        <scheme val="minor"/>
      </rPr>
      <t>Accountable</t>
    </r>
    <r>
      <rPr>
        <sz val="11"/>
        <color rgb="FF414141"/>
        <rFont val="Calibri"/>
        <family val="2"/>
        <scheme val="minor"/>
      </rPr>
      <t xml:space="preserve"> for benefits management and realisation for their own agency.</t>
    </r>
  </si>
  <si>
    <t>BENEFIT DESCRIPTION</t>
  </si>
  <si>
    <t xml:space="preserve">Benefit Description </t>
  </si>
  <si>
    <t>Benefit ID</t>
  </si>
  <si>
    <r>
      <rPr>
        <b/>
        <sz val="11"/>
        <color rgb="FF414141"/>
        <rFont val="Calibri"/>
        <family val="2"/>
        <scheme val="minor"/>
      </rPr>
      <t>DTA numbering system</t>
    </r>
    <r>
      <rPr>
        <sz val="11"/>
        <color rgb="FF414141"/>
        <rFont val="Calibri"/>
        <family val="2"/>
        <scheme val="minor"/>
      </rPr>
      <t>. Automatically populated when the DTA Investment ID is filled.</t>
    </r>
  </si>
  <si>
    <t>Agency assigned ID.</t>
  </si>
  <si>
    <t>Benefit Name</t>
  </si>
  <si>
    <t>Benefit Description</t>
  </si>
  <si>
    <t>Benefit Endorsement</t>
  </si>
  <si>
    <t>Benefit Owner - Name</t>
  </si>
  <si>
    <t>Benefit Owner - Position</t>
  </si>
  <si>
    <t>Benefit Owner - Email</t>
  </si>
  <si>
    <t>The Benefit Owner will be contacted for profile updates until benefits are realised.</t>
  </si>
  <si>
    <t>Comments</t>
  </si>
  <si>
    <t>For any additional comments please place here.</t>
  </si>
  <si>
    <t>Benefit Classification</t>
  </si>
  <si>
    <t>Benefit Type</t>
  </si>
  <si>
    <r>
      <t xml:space="preserve">Classify the benefit as </t>
    </r>
    <r>
      <rPr>
        <b/>
        <sz val="11"/>
        <color rgb="FF414141"/>
        <rFont val="Calibri"/>
        <family val="2"/>
        <scheme val="minor"/>
      </rPr>
      <t>financial</t>
    </r>
    <r>
      <rPr>
        <sz val="11"/>
        <color rgb="FF414141"/>
        <rFont val="Calibri"/>
        <family val="2"/>
        <scheme val="minor"/>
      </rPr>
      <t xml:space="preserve"> (</t>
    </r>
    <r>
      <rPr>
        <b/>
        <sz val="11"/>
        <color rgb="FF414141"/>
        <rFont val="Calibri"/>
        <family val="2"/>
        <scheme val="minor"/>
      </rPr>
      <t>cashable</t>
    </r>
    <r>
      <rPr>
        <sz val="11"/>
        <color rgb="FF414141"/>
        <rFont val="Calibri"/>
        <family val="2"/>
        <scheme val="minor"/>
      </rPr>
      <t xml:space="preserve"> or </t>
    </r>
    <r>
      <rPr>
        <b/>
        <sz val="11"/>
        <color rgb="FF414141"/>
        <rFont val="Calibri"/>
        <family val="2"/>
        <scheme val="minor"/>
      </rPr>
      <t>non-cashable</t>
    </r>
    <r>
      <rPr>
        <sz val="11"/>
        <color rgb="FF414141"/>
        <rFont val="Calibri"/>
        <family val="2"/>
        <scheme val="minor"/>
      </rPr>
      <t xml:space="preserve">) or </t>
    </r>
    <r>
      <rPr>
        <b/>
        <sz val="11"/>
        <color rgb="FF414141"/>
        <rFont val="Calibri"/>
        <family val="2"/>
        <scheme val="minor"/>
      </rPr>
      <t>non-financial</t>
    </r>
    <r>
      <rPr>
        <sz val="11"/>
        <color rgb="FF414141"/>
        <rFont val="Calibri"/>
        <family val="2"/>
        <scheme val="minor"/>
      </rPr>
      <t xml:space="preserve">. 
</t>
    </r>
    <r>
      <rPr>
        <b/>
        <sz val="11"/>
        <color rgb="FF414141"/>
        <rFont val="Calibri"/>
        <family val="2"/>
        <scheme val="minor"/>
      </rPr>
      <t>Cashable</t>
    </r>
    <r>
      <rPr>
        <sz val="11"/>
        <color rgb="FF414141"/>
        <rFont val="Calibri"/>
        <family val="2"/>
        <scheme val="minor"/>
      </rPr>
      <t xml:space="preserve"> financial benefits are those that are directly accessible and convertible into cash.
</t>
    </r>
    <r>
      <rPr>
        <b/>
        <sz val="11"/>
        <color rgb="FF414141"/>
        <rFont val="Calibri"/>
        <family val="2"/>
        <scheme val="minor"/>
      </rPr>
      <t>Non-cashable</t>
    </r>
    <r>
      <rPr>
        <sz val="11"/>
        <color rgb="FF414141"/>
        <rFont val="Calibri"/>
        <family val="2"/>
        <scheme val="minor"/>
      </rPr>
      <t xml:space="preserve"> benefits are not directly accessible as cash. They may result in an efficiency that is not a budget reduction.</t>
    </r>
  </si>
  <si>
    <t>Benefit Sub-type</t>
  </si>
  <si>
    <r>
      <t xml:space="preserve">Classify the benefit as </t>
    </r>
    <r>
      <rPr>
        <b/>
        <sz val="11"/>
        <color rgb="FF414141"/>
        <rFont val="Calibri"/>
        <family val="2"/>
        <scheme val="minor"/>
      </rPr>
      <t>Benefit</t>
    </r>
    <r>
      <rPr>
        <sz val="11"/>
        <color rgb="FF414141"/>
        <rFont val="Calibri"/>
        <family val="2"/>
        <scheme val="minor"/>
      </rPr>
      <t xml:space="preserve"> or </t>
    </r>
    <r>
      <rPr>
        <b/>
        <sz val="11"/>
        <color rgb="FF414141"/>
        <rFont val="Calibri"/>
        <family val="2"/>
        <scheme val="minor"/>
      </rPr>
      <t>Disbenefit</t>
    </r>
    <r>
      <rPr>
        <sz val="11"/>
        <color rgb="FF414141"/>
        <rFont val="Calibri"/>
        <family val="2"/>
        <scheme val="minor"/>
      </rPr>
      <t>.
All investments, regardless of implementation stage, must specify end-state benefits. 
Emergent benefits or disbenefits will arise during the benefit management lifecycle and should be reported in profile updates.</t>
    </r>
  </si>
  <si>
    <t>DTA Benefit Category</t>
  </si>
  <si>
    <t>Select the most applicable category.</t>
  </si>
  <si>
    <t>Primary Beneficiary</t>
  </si>
  <si>
    <t>The party - agency, business, citizen or government - who will primarily derive the most value from this benefit.</t>
  </si>
  <si>
    <t>Primary DDGS Mission</t>
  </si>
  <si>
    <t>Refer to the Data and Digital Government Strategy for further information. Select options from the drop-down list.</t>
  </si>
  <si>
    <t>Benefit Summary (DTA only)</t>
  </si>
  <si>
    <t>Benefit Realisation Start Date</t>
  </si>
  <si>
    <r>
      <rPr>
        <b/>
        <sz val="11"/>
        <color rgb="FF414141"/>
        <rFont val="Calibri"/>
        <family val="2"/>
        <scheme val="minor"/>
      </rPr>
      <t>Automatically</t>
    </r>
    <r>
      <rPr>
        <sz val="11"/>
        <color rgb="FF414141"/>
        <rFont val="Calibri"/>
        <family val="2"/>
        <scheme val="minor"/>
      </rPr>
      <t xml:space="preserve"> populated based on the earliest Realisation Start Date of the Measure/KPI date.</t>
    </r>
  </si>
  <si>
    <t>Benefit Realisation End Date</t>
  </si>
  <si>
    <r>
      <rPr>
        <b/>
        <sz val="11"/>
        <color rgb="FF414141"/>
        <rFont val="Calibri"/>
        <family val="2"/>
        <scheme val="minor"/>
      </rPr>
      <t>Automatically</t>
    </r>
    <r>
      <rPr>
        <sz val="11"/>
        <color rgb="FF414141"/>
        <rFont val="Calibri"/>
        <family val="2"/>
        <scheme val="minor"/>
      </rPr>
      <t xml:space="preserve"> populated based on the latest Realisation End Date of the Measure/KPI date.</t>
    </r>
  </si>
  <si>
    <t>Benefit Confidence Level</t>
  </si>
  <si>
    <r>
      <rPr>
        <b/>
        <sz val="11"/>
        <color rgb="FF414141"/>
        <rFont val="Calibri"/>
        <family val="2"/>
        <scheme val="minor"/>
      </rPr>
      <t>Automatically</t>
    </r>
    <r>
      <rPr>
        <sz val="11"/>
        <color rgb="FF414141"/>
        <rFont val="Calibri"/>
        <family val="2"/>
        <scheme val="minor"/>
      </rPr>
      <t xml:space="preserve"> calculated based on the lowest Benefit Confidence Level of the Measure/KPI date.</t>
    </r>
  </si>
  <si>
    <t>BENEFIT MEASURE</t>
  </si>
  <si>
    <t>Measure ID</t>
  </si>
  <si>
    <r>
      <rPr>
        <b/>
        <sz val="11"/>
        <color rgb="FF414141"/>
        <rFont val="Calibri"/>
        <family val="2"/>
        <scheme val="minor"/>
      </rPr>
      <t>DTA numbering system</t>
    </r>
    <r>
      <rPr>
        <sz val="11"/>
        <color rgb="FF414141"/>
        <rFont val="Calibri"/>
        <family val="2"/>
        <scheme val="minor"/>
      </rPr>
      <t>. Automatically populated when the Measure Name's cell is entered/filled</t>
    </r>
  </si>
  <si>
    <t>Measure Name (KPI)</t>
  </si>
  <si>
    <t>Measure Owner</t>
  </si>
  <si>
    <t xml:space="preserve">The person accountable for this measure. </t>
  </si>
  <si>
    <t>Measure Method</t>
  </si>
  <si>
    <t>The mechanism, tool or method that will be used to measure realisation of the benefit.</t>
  </si>
  <si>
    <t>Data Source</t>
  </si>
  <si>
    <t xml:space="preserve">Where is the data to support the information in this profile? </t>
  </si>
  <si>
    <t>Measure Unit</t>
  </si>
  <si>
    <t>What is the unit of measurement e.g. $$$, %, time, etc.</t>
  </si>
  <si>
    <t>Baseline Date</t>
  </si>
  <si>
    <t xml:space="preserve">dd/mm/yyyy </t>
  </si>
  <si>
    <t>Baseline Value</t>
  </si>
  <si>
    <r>
      <rPr>
        <b/>
        <sz val="11"/>
        <color rgb="FF414141"/>
        <rFont val="Calibri"/>
        <family val="2"/>
        <scheme val="minor"/>
      </rPr>
      <t>Numerical value.</t>
    </r>
    <r>
      <rPr>
        <sz val="11"/>
        <color rgb="FF414141"/>
        <rFont val="Calibri"/>
        <family val="2"/>
        <scheme val="minor"/>
      </rPr>
      <t xml:space="preserve"> A baseline is a measure of the current state, prior to implementing a change. 
Baseline values are obtained during discovery processes when evidence is brought forward to substantiate the scope of a problem (or driver).</t>
    </r>
  </si>
  <si>
    <t>Target Value</t>
  </si>
  <si>
    <r>
      <rPr>
        <b/>
        <sz val="11"/>
        <color rgb="FF414141"/>
        <rFont val="Calibri"/>
        <family val="2"/>
        <scheme val="minor"/>
      </rPr>
      <t>Numerical value.</t>
    </r>
    <r>
      <rPr>
        <sz val="11"/>
        <color rgb="FF414141"/>
        <rFont val="Calibri"/>
        <family val="2"/>
        <scheme val="minor"/>
      </rPr>
      <t xml:space="preserve"> The value forecast to be achieved once the measure is achieved.</t>
    </r>
  </si>
  <si>
    <t>Realisation Start Date</t>
  </si>
  <si>
    <r>
      <rPr>
        <i/>
        <sz val="11"/>
        <color rgb="FF414141"/>
        <rFont val="Calibri"/>
        <family val="2"/>
        <scheme val="minor"/>
      </rPr>
      <t xml:space="preserve">dd/mm/yyyy </t>
    </r>
    <r>
      <rPr>
        <sz val="11"/>
        <color rgb="FF414141"/>
        <rFont val="Calibri"/>
        <family val="2"/>
        <scheme val="minor"/>
      </rPr>
      <t>- the agreed date that tracking of the measure will commence.</t>
    </r>
  </si>
  <si>
    <t>Realisation End Date</t>
  </si>
  <si>
    <r>
      <rPr>
        <i/>
        <sz val="11"/>
        <color rgb="FF414141"/>
        <rFont val="Calibri"/>
        <family val="2"/>
        <scheme val="minor"/>
      </rPr>
      <t>dd/mm/yyyy</t>
    </r>
    <r>
      <rPr>
        <sz val="11"/>
        <color rgb="FF414141"/>
        <rFont val="Calibri"/>
        <family val="2"/>
        <scheme val="minor"/>
      </rPr>
      <t xml:space="preserve"> - the agreed date that the measure will be realised.</t>
    </r>
  </si>
  <si>
    <t>Tolerance</t>
  </si>
  <si>
    <r>
      <rPr>
        <b/>
        <sz val="11"/>
        <color rgb="FF414141"/>
        <rFont val="Calibri"/>
        <family val="2"/>
        <scheme val="minor"/>
      </rPr>
      <t xml:space="preserve">Percentage value. </t>
    </r>
    <r>
      <rPr>
        <sz val="11"/>
        <color rgb="FF414141"/>
        <rFont val="Calibri"/>
        <family val="2"/>
        <scheme val="minor"/>
      </rPr>
      <t>The permissible deviation above and below an agreed target without escalating the deviation to the next level of management.</t>
    </r>
  </si>
  <si>
    <t>Reporting Frequency</t>
  </si>
  <si>
    <t>Describes how frequently the measure will be tracked and reported for benefits realisation purposes.</t>
  </si>
  <si>
    <t>Constraints</t>
  </si>
  <si>
    <t xml:space="preserve">Constraints are the limitations or restrictions that could hinder the achievement of benefits. </t>
  </si>
  <si>
    <t>Dependencies</t>
  </si>
  <si>
    <t>Dependencies are the relationships between and amongst activities and outcomes that must be addressed before others can start or be successful. This applies to any event that impacts benefits.</t>
  </si>
  <si>
    <t>Assumptions</t>
  </si>
  <si>
    <t xml:space="preserve">Assumptions are statements or beliefs that are considered true for benefits to be realised. They are unproven but essential for the success of the realisation plan. </t>
  </si>
  <si>
    <t>Measure Confidence Level</t>
  </si>
  <si>
    <t>What degree of confidence is there that this measure will achieve its target as described in this template?</t>
  </si>
  <si>
    <t>Benefit Profile 1</t>
  </si>
  <si>
    <t>Investment Details</t>
  </si>
  <si>
    <t>Please select</t>
  </si>
  <si>
    <t>Other Agency
(applies for cross-agency investments)</t>
  </si>
  <si>
    <t>Variation</t>
  </si>
  <si>
    <t>Benefit Endorsement (by position)</t>
  </si>
  <si>
    <t xml:space="preserve">Benefit Owner - Name
</t>
  </si>
  <si>
    <r>
      <t xml:space="preserve">Agency Benefit ID </t>
    </r>
    <r>
      <rPr>
        <sz val="11"/>
        <color theme="1"/>
        <rFont val="Calibri"/>
        <family val="2"/>
        <scheme val="minor"/>
      </rPr>
      <t>(</t>
    </r>
    <r>
      <rPr>
        <i/>
        <sz val="11"/>
        <color theme="1"/>
        <rFont val="Calibri"/>
        <family val="2"/>
        <scheme val="minor"/>
      </rPr>
      <t>optional</t>
    </r>
    <r>
      <rPr>
        <sz val="11"/>
        <color theme="1"/>
        <rFont val="Calibri"/>
        <family val="2"/>
        <scheme val="minor"/>
      </rPr>
      <t>)</t>
    </r>
  </si>
  <si>
    <t xml:space="preserve">Benefit Owner - Position </t>
  </si>
  <si>
    <r>
      <t>Benefit Owner - Date Endorsed (</t>
    </r>
    <r>
      <rPr>
        <b/>
        <i/>
        <sz val="11"/>
        <color theme="1"/>
        <rFont val="Calibri"/>
        <family val="2"/>
        <scheme val="minor"/>
      </rPr>
      <t>dd/mm/yyyy</t>
    </r>
    <r>
      <rPr>
        <b/>
        <sz val="11"/>
        <color theme="1"/>
        <rFont val="Calibri"/>
        <family val="2"/>
        <scheme val="minor"/>
      </rPr>
      <t>)</t>
    </r>
  </si>
  <si>
    <t>Senior Responsible Official (SRO, Name)</t>
  </si>
  <si>
    <t>SRO - Date Endorsed (dd/mm/yyyy)</t>
  </si>
  <si>
    <t>Benefit Summary</t>
  </si>
  <si>
    <t>Measure / KPI 1</t>
  </si>
  <si>
    <t>Measure / KPI 2</t>
  </si>
  <si>
    <t>Measure Name</t>
  </si>
  <si>
    <r>
      <t>Baseline Date (</t>
    </r>
    <r>
      <rPr>
        <b/>
        <i/>
        <sz val="11"/>
        <color theme="1"/>
        <rFont val="Calibri"/>
        <family val="2"/>
        <scheme val="minor"/>
      </rPr>
      <t>dd/mm/yyyy</t>
    </r>
    <r>
      <rPr>
        <b/>
        <sz val="11"/>
        <color theme="1"/>
        <rFont val="Calibri"/>
        <family val="2"/>
        <scheme val="minor"/>
      </rPr>
      <t>)</t>
    </r>
  </si>
  <si>
    <r>
      <t>Realisation Start Date (</t>
    </r>
    <r>
      <rPr>
        <b/>
        <i/>
        <sz val="11"/>
        <color theme="1"/>
        <rFont val="Calibri"/>
        <family val="2"/>
        <scheme val="minor"/>
      </rPr>
      <t>dd/mm/yyyy</t>
    </r>
    <r>
      <rPr>
        <b/>
        <sz val="11"/>
        <color theme="1"/>
        <rFont val="Calibri"/>
        <family val="2"/>
        <scheme val="minor"/>
      </rPr>
      <t>)</t>
    </r>
  </si>
  <si>
    <r>
      <t>Realisation End Date (</t>
    </r>
    <r>
      <rPr>
        <b/>
        <i/>
        <sz val="11"/>
        <color theme="1"/>
        <rFont val="Calibri"/>
        <family val="2"/>
        <scheme val="minor"/>
      </rPr>
      <t>dd/mm/yyyy</t>
    </r>
    <r>
      <rPr>
        <b/>
        <sz val="11"/>
        <color theme="1"/>
        <rFont val="Calibri"/>
        <family val="2"/>
        <scheme val="minor"/>
      </rPr>
      <t>)</t>
    </r>
  </si>
  <si>
    <t>Tolerance (%)</t>
  </si>
  <si>
    <t>Measure / KPI 3</t>
  </si>
  <si>
    <t>Measure / KPI 4</t>
  </si>
  <si>
    <t>Variation Details (Complete this section if you have entered values in the variation columns)</t>
  </si>
  <si>
    <t>SRO Approval Date</t>
  </si>
  <si>
    <t>Benefit Owner Approval Date</t>
  </si>
  <si>
    <t>Variation Description</t>
  </si>
  <si>
    <t>Variation Impact</t>
  </si>
  <si>
    <t>Variation Justification</t>
  </si>
  <si>
    <t>Measure 1 Confidence Score</t>
  </si>
  <si>
    <t>Variation - Measure 1 Confidence Score</t>
  </si>
  <si>
    <t>Measure 2 Confidence Score</t>
  </si>
  <si>
    <t>Variation - Measure 2 Confidence Score</t>
  </si>
  <si>
    <t>Measure 3 Confidence Score</t>
  </si>
  <si>
    <t>Variation - Measure 3 Confidence Score</t>
  </si>
  <si>
    <t>Measure 4 Confidence Score</t>
  </si>
  <si>
    <t>Variation - Measure 4 Confidence Score</t>
  </si>
  <si>
    <t>Average</t>
  </si>
  <si>
    <t>MIN</t>
  </si>
  <si>
    <t>Benefit Profile 2</t>
  </si>
  <si>
    <t>Benefit Status</t>
  </si>
  <si>
    <t>Benefit Category</t>
  </si>
  <si>
    <t>Confidence Level</t>
  </si>
  <si>
    <t>Benefit Realisation Status</t>
  </si>
  <si>
    <t>Financial - Cashable</t>
  </si>
  <si>
    <t>Community Wellbeing</t>
  </si>
  <si>
    <t>Benefit</t>
  </si>
  <si>
    <t>Agency</t>
  </si>
  <si>
    <t>Data and digital foundations</t>
  </si>
  <si>
    <t>Accepted</t>
  </si>
  <si>
    <t>Weekly</t>
  </si>
  <si>
    <t>Low</t>
  </si>
  <si>
    <t>Pending Acceptance</t>
  </si>
  <si>
    <t>Financial - Non-cashable</t>
  </si>
  <si>
    <t>Cost to Customer</t>
  </si>
  <si>
    <t>Disbenefit</t>
  </si>
  <si>
    <t>Business</t>
  </si>
  <si>
    <t>Delivering for all people and business</t>
  </si>
  <si>
    <t>Quarantined</t>
  </si>
  <si>
    <t>Fortnightly</t>
  </si>
  <si>
    <t>Medium-low</t>
  </si>
  <si>
    <t xml:space="preserve"> Accepted</t>
  </si>
  <si>
    <t>Non-financial</t>
  </si>
  <si>
    <t>Cost to Government</t>
  </si>
  <si>
    <t>Citizen</t>
  </si>
  <si>
    <t>Government for the future</t>
  </si>
  <si>
    <t>In planning</t>
  </si>
  <si>
    <t>Medium</t>
  </si>
  <si>
    <t xml:space="preserve"> Closed – Fully Realised</t>
  </si>
  <si>
    <t>Customer Experience</t>
  </si>
  <si>
    <t>Government</t>
  </si>
  <si>
    <t>Simple and seamless services</t>
  </si>
  <si>
    <t>Monthly</t>
  </si>
  <si>
    <t>Medium-high</t>
  </si>
  <si>
    <t xml:space="preserve"> Closed – Partially Realised</t>
  </si>
  <si>
    <t>Efficiency</t>
  </si>
  <si>
    <t>Trusted and secure</t>
  </si>
  <si>
    <t>Quarterly</t>
  </si>
  <si>
    <t>High</t>
  </si>
  <si>
    <t xml:space="preserve"> Closed – Not Realised</t>
  </si>
  <si>
    <t>Enhanced Opportunities</t>
  </si>
  <si>
    <t>Biannually</t>
  </si>
  <si>
    <t>Environment &amp; Sustainability</t>
  </si>
  <si>
    <t>Year (calendar)</t>
  </si>
  <si>
    <t>Future Readiness</t>
  </si>
  <si>
    <t>Year (financial)</t>
  </si>
  <si>
    <t>Reputation in Community</t>
  </si>
  <si>
    <t>Reputation in Government</t>
  </si>
  <si>
    <t>Revenue</t>
  </si>
  <si>
    <t>Security</t>
  </si>
  <si>
    <t>Service Integrity</t>
  </si>
  <si>
    <t>Staff Experience</t>
  </si>
  <si>
    <t>Sheet name</t>
  </si>
  <si>
    <t>Confidence Score</t>
  </si>
  <si>
    <t>Cross Ref</t>
  </si>
  <si>
    <t>Benefit Profile 3</t>
  </si>
  <si>
    <t>Benefit Profile 4</t>
  </si>
  <si>
    <t>Benefit Profile 5</t>
  </si>
  <si>
    <t>Benefit Profile 6</t>
  </si>
  <si>
    <t>Benefit Profile 7</t>
  </si>
  <si>
    <t>Benefit Profile 8</t>
  </si>
  <si>
    <t>Benefit Profile 9</t>
  </si>
  <si>
    <t>Benefit Profile 10</t>
  </si>
  <si>
    <t>Agriculture, Fisheries and Forestry</t>
  </si>
  <si>
    <t>Attorney-General’s</t>
  </si>
  <si>
    <t>Climate Change, Energy, the Environment and Water</t>
  </si>
  <si>
    <t>Defence</t>
  </si>
  <si>
    <t>Education</t>
  </si>
  <si>
    <t>Employment and Workplace Relations</t>
  </si>
  <si>
    <t>Finance</t>
  </si>
  <si>
    <t>Foreign Affairs and Trade</t>
  </si>
  <si>
    <t>Health and Aged Care</t>
  </si>
  <si>
    <t>Home Affairs</t>
  </si>
  <si>
    <t>Industry, Science and Resources</t>
  </si>
  <si>
    <t>Infrastructure, Transport, Regional Development, Communications and the Arts</t>
  </si>
  <si>
    <t>Parliamentary Departments</t>
  </si>
  <si>
    <t>Prime Minister and Cabinet</t>
  </si>
  <si>
    <t>Social Services</t>
  </si>
  <si>
    <t>Treasury</t>
  </si>
  <si>
    <t>Veterans’ Affairs (part of the Defence Portfolio)</t>
  </si>
  <si>
    <t>Type</t>
  </si>
  <si>
    <t>Australian Fisheries Management Authority</t>
  </si>
  <si>
    <t>Administrative Appeals Tribunal</t>
  </si>
  <si>
    <t>Australian Institute of Marine Science</t>
  </si>
  <si>
    <t>AAF Company</t>
  </si>
  <si>
    <t>Australian Curriculum, Assessment and Reporting Authority</t>
  </si>
  <si>
    <t>Asbestos Safety and Eradication Agency</t>
  </si>
  <si>
    <t>ASC Pty Ltd</t>
  </si>
  <si>
    <t>Australian Centre for International Agricultural Research (ACIAR)</t>
  </si>
  <si>
    <t>Aged Care Quality and Safety Commission</t>
  </si>
  <si>
    <t>Australian Security Intelligence Organisation</t>
  </si>
  <si>
    <t>Australian Nuclear Science and Technology Organisation</t>
  </si>
  <si>
    <t>Airservices Australia</t>
  </si>
  <si>
    <t>Department of Parliamentary Services</t>
  </si>
  <si>
    <t>Aboriginal Hostels Limited</t>
  </si>
  <si>
    <t>Australian Hearing Services (Hearing Australia)</t>
  </si>
  <si>
    <t>Australian Bureau of Statistics</t>
  </si>
  <si>
    <t>Australian War Memorial</t>
  </si>
  <si>
    <t>N/A</t>
  </si>
  <si>
    <t>Commonwealth Company</t>
  </si>
  <si>
    <t>Australian Pesticides and Veterinary Medicines Authority (APVMA)</t>
  </si>
  <si>
    <t>Attorney-General’s Department</t>
  </si>
  <si>
    <t>Australian Renewable Energy Agency</t>
  </si>
  <si>
    <t>Army and Air Force Canteen Service (Frontline Defence Services)</t>
  </si>
  <si>
    <t>Australian Institute for Teaching and School Leadership Limited</t>
  </si>
  <si>
    <t>Australian Skills Quality Authority (National Vocational Education and Training Regulator)</t>
  </si>
  <si>
    <t>Australian Electoral Commission</t>
  </si>
  <si>
    <t>Australian Secret Intelligence Service</t>
  </si>
  <si>
    <t>Australian Commission on Safety and Quality in Health Care</t>
  </si>
  <si>
    <t>Department of Home Affairs</t>
  </si>
  <si>
    <t>Commonwealth Scientific and Industrial Research Organisation</t>
  </si>
  <si>
    <t>Australia Council</t>
  </si>
  <si>
    <t>Department of the House of Representatives</t>
  </si>
  <si>
    <t>Anindilyakwa Land Council</t>
  </si>
  <si>
    <t>Australian Institute of Family Studies (AIFS)</t>
  </si>
  <si>
    <t>Australian Competition and Consumer Commission (ACCC)</t>
  </si>
  <si>
    <t>Department of Veterans’ Affairs</t>
  </si>
  <si>
    <t>Cotton Research and Development Corporation</t>
  </si>
  <si>
    <t>Australian Crime Commission (Australian Criminal Intelligence Commission)</t>
  </si>
  <si>
    <t>Bureau of Meteorology</t>
  </si>
  <si>
    <t>Australian Military Forces Relief Trust Fund</t>
  </si>
  <si>
    <t>Australian National University</t>
  </si>
  <si>
    <t>Coal Mining Industry (Long Service Leave Funding) Corporation</t>
  </si>
  <si>
    <t>Australian Naval Infrastructure Pty Ltd</t>
  </si>
  <si>
    <t>Australian Trade and Investment Commission (Austrade)</t>
  </si>
  <si>
    <t>Australian Digital Health Agency</t>
  </si>
  <si>
    <t>National Emergency Management Agency</t>
  </si>
  <si>
    <t>Department of Industry, Science and Resources</t>
  </si>
  <si>
    <t>Australian Broadcasting Corporation</t>
  </si>
  <si>
    <t>Department of the Senate</t>
  </si>
  <si>
    <t>Australian Institute of Aboriginal and Torres Strait Islander Studies</t>
  </si>
  <si>
    <t>Department of Social Services</t>
  </si>
  <si>
    <t>Australian Office of Financial Management (AOFM)</t>
  </si>
  <si>
    <t>Non-corporate Commonwealth Entity</t>
  </si>
  <si>
    <t>Department of Agriculture, Fisheries and Forestry</t>
  </si>
  <si>
    <t>Australian Federal Police</t>
  </si>
  <si>
    <t>Clean Energy Finance Corporation</t>
  </si>
  <si>
    <t>Australian Signals Directorate</t>
  </si>
  <si>
    <t>Australian Research Council</t>
  </si>
  <si>
    <t>Comcare</t>
  </si>
  <si>
    <t>Commonwealth Superannuation Corporation (CSC)</t>
  </si>
  <si>
    <t>Department of Foreign Affairs and Trade</t>
  </si>
  <si>
    <t>Australian Institute of Health and Welfare</t>
  </si>
  <si>
    <t>Geoscience Australia</t>
  </si>
  <si>
    <t>Australian Communications and Media Authority (ACMA)</t>
  </si>
  <si>
    <t>Parliamentary Budget Office</t>
  </si>
  <si>
    <t>Australian National Audit Office</t>
  </si>
  <si>
    <t>Domestic, Family and Sexual Violence Commission</t>
  </si>
  <si>
    <t>Australian Prudential Regulation Authority (APRA)</t>
  </si>
  <si>
    <t>Fisheries Research and Development Corporation</t>
  </si>
  <si>
    <t>Australian Financial Security Authority</t>
  </si>
  <si>
    <t>Clean Energy Regulator</t>
  </si>
  <si>
    <t>Australian Strategic Policy Institute Ltd</t>
  </si>
  <si>
    <t>Department of Education</t>
  </si>
  <si>
    <t>Department of Employment and Workplace Relations</t>
  </si>
  <si>
    <t>Department of Finance</t>
  </si>
  <si>
    <t>Export Finance and Insurance Corporation (EFIC, Export Finance Australia)</t>
  </si>
  <si>
    <t>Australian National Preventive Health Agency (ANPHA)</t>
  </si>
  <si>
    <t>IP Australia</t>
  </si>
  <si>
    <t>Australian Film, Television and Radio School</t>
  </si>
  <si>
    <t>Australian Public Service Commission</t>
  </si>
  <si>
    <t>National Disability Insurance Agency</t>
  </si>
  <si>
    <t>Australian Reinsurance Pool Corporation</t>
  </si>
  <si>
    <t>Corporate Commonwealth Entity</t>
  </si>
  <si>
    <t>Grains Research and Development Corporation</t>
  </si>
  <si>
    <t>Australian Human Rights Commission</t>
  </si>
  <si>
    <t>Climate Change Authority</t>
  </si>
  <si>
    <t>Australian Submarine Agency</t>
  </si>
  <si>
    <t>Tertiary Education Quality and Standards Agency</t>
  </si>
  <si>
    <t>Fair Work Commission</t>
  </si>
  <si>
    <t>Digital Transformation Agency</t>
  </si>
  <si>
    <t>Tourism Australia</t>
  </si>
  <si>
    <t>Australian Radiation Protection and Nuclear Safety Agency (ARPANSA)</t>
  </si>
  <si>
    <t>National Offshore Petroleum Safety and Environmental Management Authority (NOPSEMA)</t>
  </si>
  <si>
    <t>Australian Maritime Safety Authority</t>
  </si>
  <si>
    <t>Central Land Council</t>
  </si>
  <si>
    <t>NDIS Quality and Safeguards Commission</t>
  </si>
  <si>
    <t>Australian Securities and Investments Commission (ASIC)</t>
  </si>
  <si>
    <t>Regional Investment Corporation</t>
  </si>
  <si>
    <t>Australian Institute of Criminology</t>
  </si>
  <si>
    <t>Department of Climate Change, Energy, the Environment and Water</t>
  </si>
  <si>
    <t>Defence Housing Australia</t>
  </si>
  <si>
    <t>Office of the Fair Work Ombudsman</t>
  </si>
  <si>
    <t>Future Fund Management Agency</t>
  </si>
  <si>
    <t>Australian Sports Commission (Australian Institute of Sport)</t>
  </si>
  <si>
    <t>National Reconstruction Fund Corporation</t>
  </si>
  <si>
    <t>Australian National Maritime Museum</t>
  </si>
  <si>
    <t>Department of the Prime Minister and Cabinet</t>
  </si>
  <si>
    <t>Services Australia</t>
  </si>
  <si>
    <t>Australian Taxation Office</t>
  </si>
  <si>
    <t>Rural Industries Research and Development Corporation</t>
  </si>
  <si>
    <t>Australian Law Reform Commission</t>
  </si>
  <si>
    <t>Director of National Parks</t>
  </si>
  <si>
    <t>Department of Defence</t>
  </si>
  <si>
    <t>Safe Work Australia</t>
  </si>
  <si>
    <t>Independent Parliamentary Expenses Authority</t>
  </si>
  <si>
    <t>Australian Sports Foundation Limited</t>
  </si>
  <si>
    <t>Australian Postal Corporation</t>
  </si>
  <si>
    <t>Indigenous Business Australia</t>
  </si>
  <si>
    <t>Commonwealth Grants Commission</t>
  </si>
  <si>
    <t>Wine Australia</t>
  </si>
  <si>
    <t>Australian Transaction Reports and Analysis Centre (AUSTRAC)</t>
  </si>
  <si>
    <t>Great Barrier Reef Marine Park Authority</t>
  </si>
  <si>
    <t>RAAF Welfare Recreational Company</t>
  </si>
  <si>
    <t>Seafarers Safety, Rehabilitation and Compensation Authority (Seacare Authority)</t>
  </si>
  <si>
    <t>Parliamentary Workplace Support Service</t>
  </si>
  <si>
    <t>Cancer Australia</t>
  </si>
  <si>
    <t>Australian Rail Track Corporation Limited</t>
  </si>
  <si>
    <t>Indigenous Land and Sea Corporation</t>
  </si>
  <si>
    <t>Department of the Treasury</t>
  </si>
  <si>
    <t>Federal Court of Australia</t>
  </si>
  <si>
    <t>Murray-Darling Basin Authority</t>
  </si>
  <si>
    <t>Royal Australian Air Force Veterans’ Residences Trust Fund</t>
  </si>
  <si>
    <t>Department of Health and Aged Care</t>
  </si>
  <si>
    <t>Australian Transport Safety Bureau (ATSB)</t>
  </si>
  <si>
    <t>National Australia Day Council Limited</t>
  </si>
  <si>
    <t>Inspector-General of Taxation</t>
  </si>
  <si>
    <t>National Anti-Corruption Commission</t>
  </si>
  <si>
    <t>Snowy Hydro Limited</t>
  </si>
  <si>
    <t>Royal Australian Air Force Welfare Trust Fund</t>
  </si>
  <si>
    <t>Food Standards Australia New Zealand</t>
  </si>
  <si>
    <t>Bundanon Trust</t>
  </si>
  <si>
    <t>National Indigenous Australians Agency</t>
  </si>
  <si>
    <t>National Competition Council</t>
  </si>
  <si>
    <t>Office of Parliamentary Counsel</t>
  </si>
  <si>
    <t>Sydney Harbour Federation Trust</t>
  </si>
  <si>
    <t>Royal Australian Navy Central Canteens Board</t>
  </si>
  <si>
    <t>Independent Health and Aged Care Pricing Authority</t>
  </si>
  <si>
    <t>Civil Aviation Safety Authority</t>
  </si>
  <si>
    <t>Northern Land Council</t>
  </si>
  <si>
    <t>National Housing Finance and Investment Corporation</t>
  </si>
  <si>
    <t>Office of the Australian Information Commissioner</t>
  </si>
  <si>
    <t>Royal Australian Navy Relief Trust Fund</t>
  </si>
  <si>
    <t>National Blood Authority</t>
  </si>
  <si>
    <t xml:space="preserve">Creative Australia </t>
  </si>
  <si>
    <t>Northern Territory Aboriginal Investment Corporation</t>
  </si>
  <si>
    <t>Office of the Auditing and Assurance Standards Board (AUASB)</t>
  </si>
  <si>
    <t>Office of the Commonwealth Ombudsman</t>
  </si>
  <si>
    <t>National Health and Medical Research Council (NHMRC)</t>
  </si>
  <si>
    <t>Department of Infrastructure, Transport, Regional Development, Communications and the Arts</t>
  </si>
  <si>
    <t>Office of National Intelligence</t>
  </si>
  <si>
    <t>Office of the Australian Accounting Standards Board (AASB)</t>
  </si>
  <si>
    <t>Office of the Director of Public Prosecutions (CDPP)</t>
  </si>
  <si>
    <t>National Health Funding Body (NHFB)</t>
  </si>
  <si>
    <t>High Speed Rail Authority</t>
  </si>
  <si>
    <t>Office of the Official Secretary to the Governor-General</t>
  </si>
  <si>
    <t>Productivity Commission</t>
  </si>
  <si>
    <t>Office of the Inspector-General of Intelligence and Security</t>
  </si>
  <si>
    <t>National Mental Health Commission</t>
  </si>
  <si>
    <t>Infrastructure Australia</t>
  </si>
  <si>
    <t>Outback Stores Pty Ltd</t>
  </si>
  <si>
    <t>Reserve Bank of Australia</t>
  </si>
  <si>
    <t>Office of the Special Investigator</t>
  </si>
  <si>
    <t>Organ and Tissue Authority</t>
  </si>
  <si>
    <t>National Archives of Australia</t>
  </si>
  <si>
    <t>Tiwi Land Council</t>
  </si>
  <si>
    <t>Royal Australian Mint</t>
  </si>
  <si>
    <t>Professional Services Review</t>
  </si>
  <si>
    <t>National Capital Authority</t>
  </si>
  <si>
    <t>Torres Strait Regional Authority</t>
  </si>
  <si>
    <t>Sport Integrity Australia</t>
  </si>
  <si>
    <t>National Film and Sound Archive of Australia</t>
  </si>
  <si>
    <t>Workplace Gender Equality Agency</t>
  </si>
  <si>
    <t>National Gallery of Australia</t>
  </si>
  <si>
    <t>Wreck Bay Aboriginal Community Council</t>
  </si>
  <si>
    <t>National Intermodal Corporation Limited</t>
  </si>
  <si>
    <t>National Library of Australia</t>
  </si>
  <si>
    <t>National Museum of Australia</t>
  </si>
  <si>
    <t>National Portrait Gallery of Australia</t>
  </si>
  <si>
    <t>National Transport Commission</t>
  </si>
  <si>
    <t>NBN Co Limited</t>
  </si>
  <si>
    <t>Northern Australia Infrastructure Facility</t>
  </si>
  <si>
    <t>Old Parliament House</t>
  </si>
  <si>
    <t>Screen Australia</t>
  </si>
  <si>
    <t>Special Broadcasting Service Corporation</t>
  </si>
  <si>
    <t>WSA Co Ltd</t>
  </si>
  <si>
    <t>Portfolio</t>
  </si>
  <si>
    <t>Name</t>
  </si>
  <si>
    <t>AWE</t>
  </si>
  <si>
    <t>Look at the Row at the top</t>
  </si>
  <si>
    <t>AG</t>
  </si>
  <si>
    <t>Looks in the stuff underneath</t>
  </si>
  <si>
    <t>CCEEW</t>
  </si>
  <si>
    <t>Employment</t>
  </si>
  <si>
    <t>DFAT</t>
  </si>
  <si>
    <t>Health</t>
  </si>
  <si>
    <t>Home</t>
  </si>
  <si>
    <t>ISR</t>
  </si>
  <si>
    <t>ITRDCA</t>
  </si>
  <si>
    <t>Parl</t>
  </si>
  <si>
    <t>PMC</t>
  </si>
  <si>
    <t>Social</t>
  </si>
  <si>
    <t>Veterans</t>
  </si>
  <si>
    <t>Domestic, Family and Sexual Violence Commision</t>
  </si>
  <si>
    <t xml:space="preserve">Senior Responsible Official - Date Endorsed </t>
  </si>
  <si>
    <t>Senior Responsible Official</t>
  </si>
  <si>
    <t>4. 'Measure confidence level' updated to reflect low to medium to high confidence .</t>
  </si>
  <si>
    <t>Improvement</t>
  </si>
  <si>
    <t>Measure Change</t>
  </si>
  <si>
    <t>What direction is the measure changing (i.e. increase or decrease)</t>
  </si>
  <si>
    <r>
      <rPr>
        <b/>
        <sz val="11"/>
        <color rgb="FF414141"/>
        <rFont val="Calibri"/>
        <family val="2"/>
        <scheme val="minor"/>
      </rPr>
      <t>Automatically</t>
    </r>
    <r>
      <rPr>
        <sz val="11"/>
        <color rgb="FF414141"/>
        <rFont val="Calibri"/>
        <family val="2"/>
        <scheme val="minor"/>
      </rPr>
      <t xml:space="preserve"> populated by calculating the difference between the baseline and target value based on the measure change direction.</t>
    </r>
  </si>
  <si>
    <t>Benefit Owner - Date Endorsed</t>
  </si>
  <si>
    <t>A concise, meaningful description of the measure that logically measures the benefit.
If using more than one measure, ensure that measures don't contradict each other and make it impossible to determine final achievement of the benefit.</t>
  </si>
  <si>
    <t xml:space="preserve">Var Benefit Numbering </t>
  </si>
  <si>
    <r>
      <rPr>
        <b/>
        <sz val="12"/>
        <color theme="1"/>
        <rFont val="Calibri"/>
        <family val="2"/>
        <scheme val="minor"/>
      </rPr>
      <t>A MEASURE</t>
    </r>
    <r>
      <rPr>
        <sz val="12"/>
        <color theme="1"/>
        <rFont val="Calibri"/>
        <family val="2"/>
        <scheme val="minor"/>
      </rPr>
      <t xml:space="preserve"> is one or more agreed measurable performance indicators used to demonstrate the achievement of a benefit.</t>
    </r>
  </si>
  <si>
    <t>Benefit Numbering system</t>
  </si>
  <si>
    <t>Variation Details</t>
  </si>
  <si>
    <t>Complete this section if you have entered values in the variation columns</t>
  </si>
  <si>
    <r>
      <t xml:space="preserve">DTA assigned - Type </t>
    </r>
    <r>
      <rPr>
        <b/>
        <sz val="11"/>
        <color rgb="FF414141"/>
        <rFont val="Calibri"/>
        <family val="2"/>
        <scheme val="minor"/>
      </rPr>
      <t>INV-</t>
    </r>
    <r>
      <rPr>
        <sz val="11"/>
        <color rgb="FF414141"/>
        <rFont val="Calibri"/>
        <family val="2"/>
        <scheme val="minor"/>
      </rPr>
      <t xml:space="preserve"> followed by the Investment number.</t>
    </r>
  </si>
  <si>
    <t>1. Investment details now only need to be entered once (in Benefit Profile 1) and are automatically copied to all benefit profiles.</t>
  </si>
  <si>
    <t>2. Benefit IDs and Measure (KPI) IDs are now automated for consistency (an additional optional Agency Benefit ID can be included if required).</t>
  </si>
  <si>
    <t>3. The following fields have been added:</t>
  </si>
  <si>
    <t xml:space="preserve">Improvement </t>
  </si>
  <si>
    <t xml:space="preserve">     •   'Measure Change' denotes the direction of the improvement in the Measure / KPI (i.e. increase or decrease)</t>
  </si>
  <si>
    <t>This field describes the variation made from the original benefit profile.</t>
  </si>
  <si>
    <t>This field describes why the variation is required.</t>
  </si>
  <si>
    <t>This field outlines the impact the variation has on benefits monitoring, management, and/or realisation.</t>
  </si>
  <si>
    <r>
      <rPr>
        <b/>
        <u/>
        <sz val="12"/>
        <color rgb="FF000000"/>
        <rFont val="Calibri"/>
        <family val="2"/>
        <scheme val="minor"/>
      </rPr>
      <t>NOTE</t>
    </r>
    <r>
      <rPr>
        <b/>
        <sz val="12"/>
        <color rgb="FF000000"/>
        <rFont val="Calibri"/>
        <family val="2"/>
        <scheme val="minor"/>
      </rPr>
      <t>: Investment details entered into the investment details section of Benefit Profile 1 are automatically copied to all benefit profiles.</t>
    </r>
  </si>
  <si>
    <r>
      <t xml:space="preserve">Agency assigned name - should remain </t>
    </r>
    <r>
      <rPr>
        <b/>
        <sz val="11"/>
        <color rgb="FF414141"/>
        <rFont val="Calibri"/>
        <family val="2"/>
        <scheme val="minor"/>
      </rPr>
      <t>consistent</t>
    </r>
    <r>
      <rPr>
        <sz val="11"/>
        <color rgb="FF414141"/>
        <rFont val="Calibri"/>
        <family val="2"/>
        <scheme val="minor"/>
      </rPr>
      <t xml:space="preserve"> for the duration of the investment.</t>
    </r>
  </si>
  <si>
    <r>
      <t xml:space="preserve">The agency that will </t>
    </r>
    <r>
      <rPr>
        <b/>
        <sz val="11"/>
        <color rgb="FF414141"/>
        <rFont val="Calibri"/>
        <family val="2"/>
        <scheme val="minor"/>
      </rPr>
      <t>deliver</t>
    </r>
    <r>
      <rPr>
        <sz val="11"/>
        <color rgb="FF414141"/>
        <rFont val="Calibri"/>
        <family val="2"/>
        <scheme val="minor"/>
      </rPr>
      <t xml:space="preserve"> the project that enables the policy agency/ies to realise the benefits. Must work with all policy agencies during project delivery to </t>
    </r>
    <r>
      <rPr>
        <b/>
        <sz val="11"/>
        <color rgb="FF414141"/>
        <rFont val="Calibri"/>
        <family val="2"/>
        <scheme val="minor"/>
      </rPr>
      <t>co-manage impact</t>
    </r>
    <r>
      <rPr>
        <sz val="11"/>
        <color rgb="FF414141"/>
        <rFont val="Calibri"/>
        <family val="2"/>
        <scheme val="minor"/>
      </rPr>
      <t>s on benefit realisation.</t>
    </r>
  </si>
  <si>
    <r>
      <t xml:space="preserve">Agency Benefit ID </t>
    </r>
    <r>
      <rPr>
        <sz val="11"/>
        <color theme="1"/>
        <rFont val="Calibri"/>
        <family val="2"/>
        <scheme val="minor"/>
      </rPr>
      <t>(optional)</t>
    </r>
  </si>
  <si>
    <r>
      <t xml:space="preserve">A </t>
    </r>
    <r>
      <rPr>
        <b/>
        <sz val="11"/>
        <color rgb="FF414141"/>
        <rFont val="Calibri"/>
        <family val="2"/>
        <scheme val="minor"/>
      </rPr>
      <t>short</t>
    </r>
    <r>
      <rPr>
        <sz val="11"/>
        <color rgb="FF414141"/>
        <rFont val="Calibri"/>
        <family val="2"/>
        <scheme val="minor"/>
      </rPr>
      <t xml:space="preserve">, descriptive title for the benefit that describes the </t>
    </r>
    <r>
      <rPr>
        <b/>
        <sz val="11"/>
        <color rgb="FF414141"/>
        <rFont val="Calibri"/>
        <family val="2"/>
        <scheme val="minor"/>
      </rPr>
      <t>value</t>
    </r>
    <r>
      <rPr>
        <sz val="11"/>
        <color rgb="FF414141"/>
        <rFont val="Calibri"/>
        <family val="2"/>
        <scheme val="minor"/>
      </rPr>
      <t xml:space="preserve"> of the investment (</t>
    </r>
    <r>
      <rPr>
        <b/>
        <sz val="11"/>
        <color rgb="FFC00000"/>
        <rFont val="Calibri"/>
        <family val="2"/>
        <scheme val="minor"/>
      </rPr>
      <t>not</t>
    </r>
    <r>
      <rPr>
        <sz val="11"/>
        <color rgb="FF414141"/>
        <rFont val="Calibri"/>
        <family val="2"/>
        <scheme val="minor"/>
      </rPr>
      <t xml:space="preserve"> project outputs, </t>
    </r>
    <r>
      <rPr>
        <b/>
        <sz val="11"/>
        <color rgb="FFC00000"/>
        <rFont val="Calibri"/>
        <family val="2"/>
        <scheme val="minor"/>
      </rPr>
      <t>not</t>
    </r>
    <r>
      <rPr>
        <sz val="11"/>
        <color rgb="FF414141"/>
        <rFont val="Calibri"/>
        <family val="2"/>
        <scheme val="minor"/>
      </rPr>
      <t xml:space="preserve"> physical business changes). E</t>
    </r>
    <r>
      <rPr>
        <i/>
        <sz val="11"/>
        <color rgb="FF414141"/>
        <rFont val="Calibri"/>
        <family val="2"/>
        <scheme val="minor"/>
      </rPr>
      <t xml:space="preserve">.g. </t>
    </r>
    <r>
      <rPr>
        <i/>
        <u/>
        <sz val="11"/>
        <color rgb="FF414141"/>
        <rFont val="Calibri"/>
        <family val="2"/>
        <scheme val="minor"/>
      </rPr>
      <t>Reduce</t>
    </r>
    <r>
      <rPr>
        <i/>
        <sz val="11"/>
        <color rgb="FF414141"/>
        <rFont val="Calibri"/>
        <family val="2"/>
        <scheme val="minor"/>
      </rPr>
      <t xml:space="preserve"> operating costs, </t>
    </r>
    <r>
      <rPr>
        <i/>
        <u/>
        <sz val="11"/>
        <color rgb="FF414141"/>
        <rFont val="Calibri"/>
        <family val="2"/>
        <scheme val="minor"/>
      </rPr>
      <t>improve</t>
    </r>
    <r>
      <rPr>
        <i/>
        <sz val="11"/>
        <color rgb="FF414141"/>
        <rFont val="Calibri"/>
        <family val="2"/>
        <scheme val="minor"/>
      </rPr>
      <t xml:space="preserve"> customer satisfaction.</t>
    </r>
  </si>
  <si>
    <r>
      <t xml:space="preserve">The </t>
    </r>
    <r>
      <rPr>
        <b/>
        <sz val="11"/>
        <color rgb="FF414141"/>
        <rFont val="Calibri"/>
        <family val="2"/>
        <scheme val="minor"/>
      </rPr>
      <t>single</t>
    </r>
    <r>
      <rPr>
        <sz val="11"/>
        <color rgb="FF414141"/>
        <rFont val="Calibri"/>
        <family val="2"/>
        <scheme val="minor"/>
      </rPr>
      <t xml:space="preserve"> person accountable for realisation of a benefit. Must be a named </t>
    </r>
    <r>
      <rPr>
        <b/>
        <sz val="11"/>
        <color rgb="FF414141"/>
        <rFont val="Calibri"/>
        <family val="2"/>
        <scheme val="minor"/>
      </rPr>
      <t>individual</t>
    </r>
    <r>
      <rPr>
        <sz val="11"/>
        <color rgb="FF414141"/>
        <rFont val="Calibri"/>
        <family val="2"/>
        <scheme val="minor"/>
      </rPr>
      <t xml:space="preserve">. </t>
    </r>
  </si>
  <si>
    <r>
      <t xml:space="preserve">The position held by the Benefit Owner (ideally Band 1 SES and above). This is a </t>
    </r>
    <r>
      <rPr>
        <b/>
        <sz val="11"/>
        <color rgb="FF414141"/>
        <rFont val="Calibri"/>
        <family val="2"/>
        <scheme val="minor"/>
      </rPr>
      <t>business</t>
    </r>
    <r>
      <rPr>
        <sz val="11"/>
        <color rgb="FF414141"/>
        <rFont val="Calibri"/>
        <family val="2"/>
        <scheme val="minor"/>
      </rPr>
      <t xml:space="preserve"> role, not a project role.</t>
    </r>
  </si>
  <si>
    <r>
      <t xml:space="preserve">The Benefit Owner must </t>
    </r>
    <r>
      <rPr>
        <b/>
        <sz val="11"/>
        <color rgb="FF414141"/>
        <rFont val="Calibri"/>
        <family val="2"/>
        <scheme val="minor"/>
      </rPr>
      <t>agree</t>
    </r>
    <r>
      <rPr>
        <sz val="11"/>
        <color rgb="FF414141"/>
        <rFont val="Calibri"/>
        <family val="2"/>
        <scheme val="minor"/>
      </rPr>
      <t xml:space="preserve"> to the benefit profile and specify the date endorsed in the format of dd/mm/yyyy.</t>
    </r>
  </si>
  <si>
    <r>
      <t xml:space="preserve">The Senior Responsible Official (SRO) is the individual (SES) who is </t>
    </r>
    <r>
      <rPr>
        <b/>
        <sz val="11"/>
        <color rgb="FF242424"/>
        <rFont val="Calibri"/>
        <family val="2"/>
        <scheme val="minor"/>
      </rPr>
      <t>accountable</t>
    </r>
    <r>
      <rPr>
        <sz val="11"/>
        <color rgb="FF242424"/>
        <rFont val="Calibri"/>
        <family val="2"/>
        <scheme val="minor"/>
      </rPr>
      <t xml:space="preserve"> for the programme/project success, who ensures that benefits are realised post investment closure.</t>
    </r>
  </si>
  <si>
    <r>
      <t xml:space="preserve">The Senior Responsible Official (SRO) must </t>
    </r>
    <r>
      <rPr>
        <b/>
        <sz val="11"/>
        <color rgb="FF242424"/>
        <rFont val="Calibri"/>
        <family val="2"/>
        <scheme val="minor"/>
      </rPr>
      <t xml:space="preserve">agree </t>
    </r>
    <r>
      <rPr>
        <sz val="11"/>
        <color rgb="FF242424"/>
        <rFont val="Calibri"/>
        <family val="2"/>
        <scheme val="minor"/>
      </rPr>
      <t>to the benefit profile and specify the date endorsed in the format of dd/mm/yyyy.</t>
    </r>
  </si>
  <si>
    <r>
      <t xml:space="preserve">Full completion of this benefit profile template satisfies </t>
    </r>
    <r>
      <rPr>
        <b/>
        <sz val="11"/>
        <color theme="1"/>
        <rFont val="Calibri"/>
        <family val="2"/>
        <scheme val="minor"/>
      </rPr>
      <t>criterion 2</t>
    </r>
    <r>
      <rPr>
        <sz val="11"/>
        <color theme="1"/>
        <rFont val="Calibri"/>
        <family val="2"/>
        <scheme val="minor"/>
      </rPr>
      <t xml:space="preserve"> of the </t>
    </r>
    <r>
      <rPr>
        <b/>
        <sz val="11"/>
        <color theme="1"/>
        <rFont val="Calibri"/>
        <family val="2"/>
        <scheme val="minor"/>
      </rPr>
      <t>Benefits Management Policy</t>
    </r>
    <r>
      <rPr>
        <sz val="11"/>
        <color theme="1"/>
        <rFont val="Calibri"/>
        <family val="2"/>
        <scheme val="minor"/>
      </rPr>
      <t xml:space="preserve"> assessment  in the </t>
    </r>
    <r>
      <rPr>
        <b/>
        <sz val="11"/>
        <color theme="1"/>
        <rFont val="Calibri"/>
        <family val="2"/>
        <scheme val="minor"/>
      </rPr>
      <t xml:space="preserve">Digital Capability Assessment Process (DCAP). </t>
    </r>
    <r>
      <rPr>
        <sz val="11"/>
        <color theme="1"/>
        <rFont val="Calibri"/>
        <family val="2"/>
        <scheme val="minor"/>
      </rPr>
      <t xml:space="preserve">
</t>
    </r>
  </si>
  <si>
    <r>
      <rPr>
        <b/>
        <sz val="11"/>
        <color theme="1"/>
        <rFont val="Calibri"/>
        <family val="2"/>
        <scheme val="minor"/>
      </rPr>
      <t>The Benefits Management Policy</t>
    </r>
    <r>
      <rPr>
        <sz val="11"/>
        <color theme="1"/>
        <rFont val="Calibri"/>
        <family val="2"/>
        <scheme val="minor"/>
      </rPr>
      <t xml:space="preserve"> is a Government-endorsed and mandated implementation of benefits management for </t>
    </r>
    <r>
      <rPr>
        <b/>
        <sz val="11"/>
        <color theme="1"/>
        <rFont val="Calibri"/>
        <family val="2"/>
        <scheme val="minor"/>
      </rPr>
      <t>digital and ICT-enabled investments</t>
    </r>
    <r>
      <rPr>
        <sz val="11"/>
        <color theme="1"/>
        <rFont val="Calibri"/>
        <family val="2"/>
        <scheme val="minor"/>
      </rPr>
      <t xml:space="preserve">. The Policy applies to all investments subject to the DTA's </t>
    </r>
    <r>
      <rPr>
        <b/>
        <sz val="11"/>
        <color theme="1"/>
        <rFont val="Calibri"/>
        <family val="2"/>
        <scheme val="minor"/>
      </rPr>
      <t>Investment Oversight Framework</t>
    </r>
    <r>
      <rPr>
        <sz val="11"/>
        <color theme="1"/>
        <rFont val="Calibri"/>
        <family val="2"/>
        <scheme val="minor"/>
      </rPr>
      <t xml:space="preserve"> from the 2024-25 Budget onwards.</t>
    </r>
  </si>
  <si>
    <r>
      <t>Refer to the '</t>
    </r>
    <r>
      <rPr>
        <b/>
        <sz val="11"/>
        <color theme="1"/>
        <rFont val="Calibri"/>
        <family val="2"/>
        <scheme val="minor"/>
      </rPr>
      <t>Guidance</t>
    </r>
    <r>
      <rPr>
        <sz val="11"/>
        <color theme="1"/>
        <rFont val="Calibri"/>
        <family val="2"/>
        <scheme val="minor"/>
      </rPr>
      <t>' tab for assistance in completing the benefit profile template.</t>
    </r>
  </si>
  <si>
    <r>
      <t xml:space="preserve">Benefits must be measurable (or at the very least observable). Even benefits that are considered intangible can often be measured via qualitative measures and proxy indicators. If benefits are not expressed in measurable terms, it is not possible to effectively demonstrate improvement. This also means it is not possible to baseline performance which substantially weakens the case for change.
Identified benefits must be </t>
    </r>
    <r>
      <rPr>
        <b/>
        <sz val="12"/>
        <color theme="1"/>
        <rFont val="Calibri"/>
        <family val="2"/>
        <scheme val="minor"/>
      </rPr>
      <t>S</t>
    </r>
    <r>
      <rPr>
        <sz val="12"/>
        <color theme="1"/>
        <rFont val="Calibri"/>
        <family val="2"/>
        <scheme val="minor"/>
      </rPr>
      <t xml:space="preserve">pecific, </t>
    </r>
    <r>
      <rPr>
        <b/>
        <sz val="12"/>
        <color theme="1"/>
        <rFont val="Calibri"/>
        <family val="2"/>
        <scheme val="minor"/>
      </rPr>
      <t>M</t>
    </r>
    <r>
      <rPr>
        <sz val="12"/>
        <color theme="1"/>
        <rFont val="Calibri"/>
        <family val="2"/>
        <scheme val="minor"/>
      </rPr>
      <t xml:space="preserve">easurable, </t>
    </r>
    <r>
      <rPr>
        <b/>
        <sz val="12"/>
        <color theme="1"/>
        <rFont val="Calibri"/>
        <family val="2"/>
        <scheme val="minor"/>
      </rPr>
      <t>A</t>
    </r>
    <r>
      <rPr>
        <sz val="12"/>
        <color theme="1"/>
        <rFont val="Calibri"/>
        <family val="2"/>
        <scheme val="minor"/>
      </rPr>
      <t xml:space="preserve">chievable, </t>
    </r>
    <r>
      <rPr>
        <b/>
        <sz val="12"/>
        <color theme="1"/>
        <rFont val="Calibri"/>
        <family val="2"/>
        <scheme val="minor"/>
      </rPr>
      <t>R</t>
    </r>
    <r>
      <rPr>
        <sz val="12"/>
        <color theme="1"/>
        <rFont val="Calibri"/>
        <family val="2"/>
        <scheme val="minor"/>
      </rPr>
      <t xml:space="preserve">ealistic, </t>
    </r>
    <r>
      <rPr>
        <b/>
        <sz val="12"/>
        <color theme="1"/>
        <rFont val="Calibri"/>
        <family val="2"/>
        <scheme val="minor"/>
      </rPr>
      <t>T</t>
    </r>
    <r>
      <rPr>
        <sz val="12"/>
        <color theme="1"/>
        <rFont val="Calibri"/>
        <family val="2"/>
        <scheme val="minor"/>
      </rPr>
      <t xml:space="preserve">imely, </t>
    </r>
    <r>
      <rPr>
        <b/>
        <sz val="12"/>
        <color theme="1"/>
        <rFont val="Calibri"/>
        <family val="2"/>
        <scheme val="minor"/>
      </rPr>
      <t>A</t>
    </r>
    <r>
      <rPr>
        <sz val="12"/>
        <color theme="1"/>
        <rFont val="Calibri"/>
        <family val="2"/>
        <scheme val="minor"/>
      </rPr>
      <t xml:space="preserve">greed, and </t>
    </r>
    <r>
      <rPr>
        <b/>
        <sz val="12"/>
        <color theme="1"/>
        <rFont val="Calibri"/>
        <family val="2"/>
        <scheme val="minor"/>
      </rPr>
      <t>A</t>
    </r>
    <r>
      <rPr>
        <sz val="12"/>
        <color theme="1"/>
        <rFont val="Calibri"/>
        <family val="2"/>
        <scheme val="minor"/>
      </rPr>
      <t>ttributable (</t>
    </r>
    <r>
      <rPr>
        <b/>
        <sz val="12"/>
        <color theme="1"/>
        <rFont val="Calibri"/>
        <family val="2"/>
        <scheme val="minor"/>
      </rPr>
      <t>S M A R T A A</t>
    </r>
    <r>
      <rPr>
        <sz val="12"/>
        <color theme="1"/>
        <rFont val="Calibri"/>
        <family val="2"/>
        <scheme val="minor"/>
      </rPr>
      <t xml:space="preserve">). Describe benefits using verbs that tend to be measurable (e.g. using </t>
    </r>
    <r>
      <rPr>
        <b/>
        <sz val="12"/>
        <color theme="1"/>
        <rFont val="Calibri"/>
        <family val="2"/>
        <scheme val="minor"/>
      </rPr>
      <t>MEDIC</t>
    </r>
    <r>
      <rPr>
        <sz val="12"/>
        <color theme="1"/>
        <rFont val="Calibri"/>
        <family val="2"/>
        <scheme val="minor"/>
      </rPr>
      <t xml:space="preserve">: </t>
    </r>
    <r>
      <rPr>
        <b/>
        <sz val="12"/>
        <color theme="1"/>
        <rFont val="Calibri"/>
        <family val="2"/>
        <scheme val="minor"/>
      </rPr>
      <t>M</t>
    </r>
    <r>
      <rPr>
        <sz val="12"/>
        <color theme="1"/>
        <rFont val="Calibri"/>
        <family val="2"/>
        <scheme val="minor"/>
      </rPr>
      <t xml:space="preserve">aintain, </t>
    </r>
    <r>
      <rPr>
        <b/>
        <sz val="12"/>
        <color theme="1"/>
        <rFont val="Calibri"/>
        <family val="2"/>
        <scheme val="minor"/>
      </rPr>
      <t>E</t>
    </r>
    <r>
      <rPr>
        <sz val="12"/>
        <color theme="1"/>
        <rFont val="Calibri"/>
        <family val="2"/>
        <scheme val="minor"/>
      </rPr>
      <t xml:space="preserve">liminate, </t>
    </r>
    <r>
      <rPr>
        <b/>
        <sz val="12"/>
        <color theme="1"/>
        <rFont val="Calibri"/>
        <family val="2"/>
        <scheme val="minor"/>
      </rPr>
      <t>D</t>
    </r>
    <r>
      <rPr>
        <sz val="12"/>
        <color theme="1"/>
        <rFont val="Calibri"/>
        <family val="2"/>
        <scheme val="minor"/>
      </rPr>
      <t xml:space="preserve">ecrease, </t>
    </r>
    <r>
      <rPr>
        <b/>
        <sz val="12"/>
        <color theme="1"/>
        <rFont val="Calibri"/>
        <family val="2"/>
        <scheme val="minor"/>
      </rPr>
      <t>I</t>
    </r>
    <r>
      <rPr>
        <sz val="12"/>
        <color theme="1"/>
        <rFont val="Calibri"/>
        <family val="2"/>
        <scheme val="minor"/>
      </rPr>
      <t xml:space="preserve">ncrease, and </t>
    </r>
    <r>
      <rPr>
        <b/>
        <sz val="12"/>
        <color theme="1"/>
        <rFont val="Calibri"/>
        <family val="2"/>
        <scheme val="minor"/>
      </rPr>
      <t>C</t>
    </r>
    <r>
      <rPr>
        <sz val="12"/>
        <color theme="1"/>
        <rFont val="Calibri"/>
        <family val="2"/>
        <scheme val="minor"/>
      </rPr>
      <t xml:space="preserve">reate) as opposed to vague language (e.g. improve).
Benefit categories will be aligned with the Data and Digital Government Strategy. Trial categories are included in the benefit template form. </t>
    </r>
  </si>
  <si>
    <r>
      <t xml:space="preserve">
1. As a guide, the DTA recommends the following minimum number of</t>
    </r>
    <r>
      <rPr>
        <b/>
        <sz val="12"/>
        <color rgb="FF000000"/>
        <rFont val="Calibri"/>
        <family val="2"/>
        <scheme val="minor"/>
      </rPr>
      <t xml:space="preserve"> top-level benefits*</t>
    </r>
    <r>
      <rPr>
        <sz val="12"/>
        <color rgb="FF000000"/>
        <rFont val="Calibri"/>
        <family val="2"/>
        <scheme val="minor"/>
      </rPr>
      <t xml:space="preserve">:
   • </t>
    </r>
    <r>
      <rPr>
        <b/>
        <sz val="12"/>
        <color rgb="FF000000"/>
        <rFont val="Calibri"/>
        <family val="2"/>
        <scheme val="minor"/>
      </rPr>
      <t xml:space="preserve">Tier 1 </t>
    </r>
    <r>
      <rPr>
        <sz val="12"/>
        <color rgb="FF000000"/>
        <rFont val="Calibri"/>
        <family val="2"/>
        <scheme val="minor"/>
      </rPr>
      <t xml:space="preserve">investments (flagship digital investments): </t>
    </r>
    <r>
      <rPr>
        <b/>
        <sz val="12"/>
        <color rgb="FF000000"/>
        <rFont val="Calibri"/>
        <family val="2"/>
        <scheme val="minor"/>
      </rPr>
      <t>1 to 5</t>
    </r>
    <r>
      <rPr>
        <sz val="12"/>
        <color rgb="FF000000"/>
        <rFont val="Calibri"/>
        <family val="2"/>
        <scheme val="minor"/>
      </rPr>
      <t xml:space="preserve"> benefits
   • </t>
    </r>
    <r>
      <rPr>
        <b/>
        <sz val="12"/>
        <color rgb="FF000000"/>
        <rFont val="Calibri"/>
        <family val="2"/>
        <scheme val="minor"/>
      </rPr>
      <t>Tier 2</t>
    </r>
    <r>
      <rPr>
        <sz val="12"/>
        <color rgb="FF000000"/>
        <rFont val="Calibri"/>
        <family val="2"/>
        <scheme val="minor"/>
      </rPr>
      <t xml:space="preserve"> investments (strategically significant digital investments): </t>
    </r>
    <r>
      <rPr>
        <b/>
        <sz val="12"/>
        <color rgb="FF000000"/>
        <rFont val="Calibri"/>
        <family val="2"/>
        <scheme val="minor"/>
      </rPr>
      <t>1 to 3</t>
    </r>
    <r>
      <rPr>
        <sz val="12"/>
        <color rgb="FF000000"/>
        <rFont val="Calibri"/>
        <family val="2"/>
        <scheme val="minor"/>
      </rPr>
      <t xml:space="preserve"> benefits
   • </t>
    </r>
    <r>
      <rPr>
        <b/>
        <sz val="12"/>
        <color rgb="FF000000"/>
        <rFont val="Calibri"/>
        <family val="2"/>
        <scheme val="minor"/>
      </rPr>
      <t>Tier 3</t>
    </r>
    <r>
      <rPr>
        <sz val="12"/>
        <color rgb="FF000000"/>
        <rFont val="Calibri"/>
        <family val="2"/>
        <scheme val="minor"/>
      </rPr>
      <t xml:space="preserve"> investments (significant digital investments): </t>
    </r>
    <r>
      <rPr>
        <b/>
        <sz val="12"/>
        <color rgb="FF000000"/>
        <rFont val="Calibri"/>
        <family val="2"/>
        <scheme val="minor"/>
      </rPr>
      <t>1 to 2</t>
    </r>
    <r>
      <rPr>
        <sz val="12"/>
        <color rgb="FF000000"/>
        <rFont val="Calibri"/>
        <family val="2"/>
        <scheme val="minor"/>
      </rPr>
      <t xml:space="preserve"> benefits
2. Each benefit should have </t>
    </r>
    <r>
      <rPr>
        <b/>
        <sz val="12"/>
        <color rgb="FF000000"/>
        <rFont val="Calibri"/>
        <family val="2"/>
        <scheme val="minor"/>
      </rPr>
      <t>at least 1 measure</t>
    </r>
    <r>
      <rPr>
        <sz val="12"/>
        <color rgb="FF000000"/>
        <rFont val="Calibri"/>
        <family val="2"/>
        <scheme val="minor"/>
      </rPr>
      <t xml:space="preserve"> and, preferably, </t>
    </r>
    <r>
      <rPr>
        <b/>
        <sz val="12"/>
        <color rgb="FF000000"/>
        <rFont val="Calibri"/>
        <family val="2"/>
        <scheme val="minor"/>
      </rPr>
      <t>not more than 4 measures</t>
    </r>
    <r>
      <rPr>
        <sz val="12"/>
        <color rgb="FF000000"/>
        <rFont val="Calibri"/>
        <family val="2"/>
        <scheme val="minor"/>
      </rPr>
      <t xml:space="preserve">.
3. Benefits listed in the business case must have a </t>
    </r>
    <r>
      <rPr>
        <b/>
        <sz val="12"/>
        <color rgb="FF000000"/>
        <rFont val="Calibri"/>
        <family val="2"/>
        <scheme val="minor"/>
      </rPr>
      <t>completed benefit profile</t>
    </r>
    <r>
      <rPr>
        <sz val="12"/>
        <color rgb="FF000000"/>
        <rFont val="Calibri"/>
        <family val="2"/>
        <scheme val="minor"/>
      </rPr>
      <t xml:space="preserve"> if they are used to support the investment case. 
4. Please contact BMT at benefits.management@dta.gov.au for adding or deleting Benefit Profiles
</t>
    </r>
    <r>
      <rPr>
        <b/>
        <i/>
        <sz val="12"/>
        <color rgb="FF000000"/>
        <rFont val="Calibri"/>
        <family val="2"/>
        <scheme val="minor"/>
      </rPr>
      <t>*Top-level benefits are the highest priority benefits that capture the intent of the investment and will provide the clearest evidence that an investment has achieved its stated aims.</t>
    </r>
  </si>
  <si>
    <r>
      <t xml:space="preserve">A short, concise description of the benefit using </t>
    </r>
    <r>
      <rPr>
        <b/>
        <sz val="11"/>
        <color rgb="FF414141"/>
        <rFont val="Calibri"/>
        <family val="2"/>
        <scheme val="minor"/>
      </rPr>
      <t>S M A R T A A</t>
    </r>
    <r>
      <rPr>
        <sz val="11"/>
        <color rgb="FF414141"/>
        <rFont val="Calibri"/>
        <family val="2"/>
        <scheme val="minor"/>
      </rPr>
      <t>; e.g. Technology infrastructure operating costs (specific) will be reduced by 30% (achievable) in the 6 months following implementation (timebound). Benefits will be measured using reported finance (agreed) averaged BAU costs (relevant) over the last 2 financial years (measurable).</t>
    </r>
  </si>
  <si>
    <t>November 2024 - Version 2.0</t>
  </si>
  <si>
    <t xml:space="preserve">     •   'Improvement' reflects the anticipated improvement by calculating difference between the baseline and target values.</t>
  </si>
  <si>
    <r>
      <t xml:space="preserve">4. Changed file format to 'Excel Workbook.xlsx' to reduce instances of file corruption (please report corrupted files to </t>
    </r>
    <r>
      <rPr>
        <u/>
        <sz val="10"/>
        <rFont val="Calibri"/>
        <family val="2"/>
        <scheme val="minor"/>
      </rPr>
      <t>benefits.management@dta.gov.au</t>
    </r>
    <r>
      <rPr>
        <sz val="10"/>
        <rFont val="Calibri"/>
        <family val="2"/>
        <scheme val="minor"/>
      </rPr>
      <t>).</t>
    </r>
  </si>
  <si>
    <r>
      <rPr>
        <b/>
        <sz val="28"/>
        <color rgb="FFFF0000"/>
        <rFont val="Calibri"/>
        <family val="2"/>
        <scheme val="minor"/>
      </rPr>
      <t>WARNING</t>
    </r>
    <r>
      <rPr>
        <b/>
        <sz val="28"/>
        <color rgb="FFFFFFFF"/>
        <rFont val="Calibri"/>
        <family val="2"/>
        <scheme val="minor"/>
      </rPr>
      <t xml:space="preserve"> </t>
    </r>
    <r>
      <rPr>
        <b/>
        <sz val="16"/>
        <color rgb="FFFFFFFF"/>
        <rFont val="Calibri"/>
        <family val="2"/>
        <scheme val="minor"/>
      </rPr>
      <t xml:space="preserve">- Please </t>
    </r>
    <r>
      <rPr>
        <b/>
        <sz val="16"/>
        <color rgb="FFFFFF00"/>
        <rFont val="Calibri"/>
        <family val="2"/>
        <scheme val="minor"/>
      </rPr>
      <t>DO NOT</t>
    </r>
    <r>
      <rPr>
        <b/>
        <sz val="16"/>
        <color rgb="FFFFFFFF"/>
        <rFont val="Calibri"/>
        <family val="2"/>
        <scheme val="minor"/>
      </rPr>
      <t xml:space="preserve"> copy the Benefit Profile to a new file as it contains formulas and references (indicated in grey). 
                                  - Please </t>
    </r>
    <r>
      <rPr>
        <b/>
        <sz val="16"/>
        <color rgb="FFFFFF00"/>
        <rFont val="Calibri"/>
        <family val="2"/>
        <scheme val="minor"/>
      </rPr>
      <t>DO NOT</t>
    </r>
    <r>
      <rPr>
        <b/>
        <sz val="16"/>
        <color rgb="FFFFFFFF"/>
        <rFont val="Calibri"/>
        <family val="2"/>
        <scheme val="minor"/>
      </rPr>
      <t xml:space="preserve"> change the file format.</t>
    </r>
  </si>
  <si>
    <t>The Senior Responsible Officer approved the variation to the benefits profile on this date.</t>
  </si>
  <si>
    <t>The Benefit Owner approved the variation to the benefits profile on this date.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</si>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</sst>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0.0"/>
  </numFmts>
  <fonts count="45" x14ac:knownFonts="1">
    <font>
      <sz val="11"/>
      <color theme="1"/>
      <name val="Calibri"/>
      <family val="2"/>
      <scheme val="minor"/>
    </font>
    <font>
      <sz val="18"/>
      <color theme="3"/>
      <name val="Calibri Light"/>
      <family val="2"/>
      <scheme val="major"/>
    </font>
    <font>
      <b/>
      <sz val="11"/>
      <color theme="1"/>
      <name val="Calibri"/>
      <family val="2"/>
      <scheme val="minor"/>
    </font>
    <font>
      <sz val="11"/>
      <name val="Calibri"/>
      <family val="2"/>
      <scheme val="minor"/>
    </font>
    <font>
      <b/>
      <sz val="11"/>
      <color theme="0"/>
      <name val="Calibri"/>
      <family val="2"/>
      <scheme val="minor"/>
    </font>
    <font>
      <b/>
      <sz val="36"/>
      <color rgb="FF1E3C50"/>
      <name val="Calibri"/>
      <family val="2"/>
    </font>
    <font>
      <b/>
      <sz val="11"/>
      <color rgb="FF414141"/>
      <name val="Calibri"/>
      <family val="2"/>
      <scheme val="minor"/>
    </font>
    <font>
      <sz val="11"/>
      <color rgb="FF414141"/>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4"/>
      <color rgb="FF288264"/>
      <name val="Calibri"/>
      <family val="2"/>
      <scheme val="minor"/>
    </font>
    <font>
      <b/>
      <sz val="22"/>
      <color rgb="FF288264"/>
      <name val="Calibri"/>
      <family val="2"/>
      <scheme val="minor"/>
    </font>
    <font>
      <b/>
      <sz val="22"/>
      <color theme="0"/>
      <name val="Calibri"/>
      <family val="2"/>
      <scheme val="minor"/>
    </font>
    <font>
      <i/>
      <sz val="11"/>
      <color rgb="FF414141"/>
      <name val="Calibri"/>
      <family val="2"/>
      <scheme val="minor"/>
    </font>
    <font>
      <u/>
      <sz val="11"/>
      <color theme="10"/>
      <name val="Calibri"/>
      <family val="2"/>
      <scheme val="minor"/>
    </font>
    <font>
      <b/>
      <sz val="16"/>
      <color theme="0"/>
      <name val="Calibri"/>
      <family val="2"/>
      <scheme val="minor"/>
    </font>
    <font>
      <b/>
      <sz val="28"/>
      <color theme="0"/>
      <name val="Calibri"/>
      <family val="2"/>
      <scheme val="minor"/>
    </font>
    <font>
      <sz val="11"/>
      <color theme="0"/>
      <name val="Calibri"/>
      <family val="2"/>
      <scheme val="minor"/>
    </font>
    <font>
      <b/>
      <sz val="11"/>
      <color rgb="FF1E3C50"/>
      <name val="Calibri"/>
      <family val="2"/>
      <scheme val="minor"/>
    </font>
    <font>
      <b/>
      <i/>
      <sz val="11"/>
      <color theme="1"/>
      <name val="Calibri"/>
      <family val="2"/>
      <scheme val="minor"/>
    </font>
    <font>
      <sz val="11"/>
      <color indexed="8"/>
      <name val="Calibri"/>
      <family val="2"/>
    </font>
    <font>
      <b/>
      <sz val="11"/>
      <color indexed="8"/>
      <name val="Calibri"/>
      <family val="2"/>
    </font>
    <font>
      <b/>
      <sz val="10"/>
      <name val="Calibri"/>
      <family val="2"/>
      <scheme val="minor"/>
    </font>
    <font>
      <sz val="10"/>
      <name val="Calibri"/>
      <family val="2"/>
      <scheme val="minor"/>
    </font>
    <font>
      <b/>
      <sz val="14"/>
      <color theme="0"/>
      <name val="Calibri"/>
      <family val="2"/>
      <scheme val="minor"/>
    </font>
    <font>
      <b/>
      <sz val="12"/>
      <color theme="1"/>
      <name val="Calibri"/>
      <family val="2"/>
      <scheme val="minor"/>
    </font>
    <font>
      <sz val="8"/>
      <name val="Calibri"/>
      <family val="2"/>
      <scheme val="minor"/>
    </font>
    <font>
      <u/>
      <sz val="11"/>
      <color rgb="FF414141"/>
      <name val="Calibri"/>
      <family val="2"/>
      <scheme val="minor"/>
    </font>
    <font>
      <i/>
      <sz val="11"/>
      <color theme="1"/>
      <name val="Calibri"/>
      <family val="2"/>
      <scheme val="minor"/>
    </font>
    <font>
      <sz val="12"/>
      <color theme="1"/>
      <name val="Calibri"/>
      <family val="2"/>
      <scheme val="minor"/>
    </font>
    <font>
      <b/>
      <sz val="28"/>
      <color rgb="FFFF0000"/>
      <name val="Calibri"/>
      <family val="2"/>
      <scheme val="minor"/>
    </font>
    <font>
      <b/>
      <sz val="28"/>
      <color rgb="FFFFFFFF"/>
      <name val="Calibri"/>
      <family val="2"/>
      <scheme val="minor"/>
    </font>
    <font>
      <b/>
      <sz val="16"/>
      <color rgb="FFFFFFFF"/>
      <name val="Calibri"/>
      <family val="2"/>
      <scheme val="minor"/>
    </font>
    <font>
      <b/>
      <sz val="16"/>
      <color rgb="FFFFFF00"/>
      <name val="Calibri"/>
      <family val="2"/>
      <scheme val="minor"/>
    </font>
    <font>
      <b/>
      <i/>
      <sz val="12"/>
      <color rgb="FF000000"/>
      <name val="Calibri"/>
      <family val="2"/>
      <scheme val="minor"/>
    </font>
    <font>
      <b/>
      <sz val="12"/>
      <color rgb="FF000000"/>
      <name val="Calibri"/>
      <family val="2"/>
      <scheme val="minor"/>
    </font>
    <font>
      <b/>
      <u/>
      <sz val="12"/>
      <color rgb="FF000000"/>
      <name val="Calibri"/>
      <family val="2"/>
      <scheme val="minor"/>
    </font>
    <font>
      <b/>
      <sz val="11"/>
      <color rgb="FFC00000"/>
      <name val="Calibri"/>
      <family val="2"/>
      <scheme val="minor"/>
    </font>
    <font>
      <i/>
      <u/>
      <sz val="11"/>
      <color rgb="FF414141"/>
      <name val="Calibri"/>
      <family val="2"/>
      <scheme val="minor"/>
    </font>
    <font>
      <b/>
      <sz val="11"/>
      <color rgb="FF242424"/>
      <name val="Calibri"/>
      <family val="2"/>
      <scheme val="minor"/>
    </font>
    <font>
      <sz val="11"/>
      <color rgb="FF242424"/>
      <name val="Calibri"/>
      <family val="2"/>
      <scheme val="minor"/>
    </font>
    <font>
      <sz val="12"/>
      <color rgb="FF000000"/>
      <name val="Calibri"/>
      <family val="2"/>
      <scheme val="minor"/>
    </font>
    <font>
      <u/>
      <sz val="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8EBD7"/>
        <bgColor indexed="64"/>
      </patternFill>
    </fill>
    <fill>
      <patternFill patternType="solid">
        <fgColor rgb="FF1E3C50"/>
        <bgColor indexed="64"/>
      </patternFill>
    </fill>
    <fill>
      <patternFill patternType="solid">
        <fgColor rgb="FFEBF5D4"/>
        <bgColor indexed="64"/>
      </patternFill>
    </fill>
    <fill>
      <patternFill patternType="solid">
        <fgColor rgb="FFFAD674"/>
        <bgColor indexed="64"/>
      </patternFill>
    </fill>
    <fill>
      <patternFill patternType="solid">
        <fgColor rgb="FFFDEFC7"/>
        <bgColor indexed="64"/>
      </patternFill>
    </fill>
    <fill>
      <patternFill patternType="solid">
        <fgColor theme="4"/>
        <bgColor theme="4"/>
      </patternFill>
    </fill>
    <fill>
      <patternFill patternType="solid">
        <fgColor theme="7" tint="0.79998168889431442"/>
        <bgColor indexed="64"/>
      </patternFill>
    </fill>
  </fills>
  <borders count="64">
    <border>
      <left/>
      <right/>
      <top/>
      <bottom/>
      <diagonal/>
    </border>
    <border>
      <left style="thin">
        <color rgb="FF288264"/>
      </left>
      <right style="thin">
        <color indexed="64"/>
      </right>
      <top/>
      <bottom/>
      <diagonal/>
    </border>
    <border>
      <left/>
      <right style="thin">
        <color indexed="64"/>
      </right>
      <top/>
      <bottom/>
      <diagonal/>
    </border>
    <border>
      <left/>
      <right style="thin">
        <color indexed="64"/>
      </right>
      <top style="thin">
        <color rgb="FF2882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1E3C50"/>
      </left>
      <right style="thin">
        <color indexed="64"/>
      </right>
      <top style="thin">
        <color rgb="FF1E3C50"/>
      </top>
      <bottom style="thin">
        <color rgb="FF1E3C50"/>
      </bottom>
      <diagonal/>
    </border>
    <border>
      <left style="thin">
        <color indexed="64"/>
      </left>
      <right/>
      <top style="thin">
        <color rgb="FF1E3C50"/>
      </top>
      <bottom style="thin">
        <color rgb="FF1E3C50"/>
      </bottom>
      <diagonal/>
    </border>
    <border>
      <left/>
      <right style="thin">
        <color rgb="FF1E3C50"/>
      </right>
      <top style="thin">
        <color rgb="FF1E3C50"/>
      </top>
      <bottom style="thin">
        <color rgb="FF1E3C50"/>
      </bottom>
      <diagonal/>
    </border>
    <border>
      <left/>
      <right/>
      <top style="thin">
        <color rgb="FF1E3C50"/>
      </top>
      <bottom/>
      <diagonal/>
    </border>
    <border>
      <left/>
      <right/>
      <top style="thin">
        <color rgb="FF288264"/>
      </top>
      <bottom/>
      <diagonal/>
    </border>
    <border>
      <left/>
      <right style="thin">
        <color rgb="FF288264"/>
      </right>
      <top style="thin">
        <color theme="0"/>
      </top>
      <bottom style="thin">
        <color theme="0"/>
      </bottom>
      <diagonal/>
    </border>
    <border>
      <left/>
      <right style="thin">
        <color rgb="FF288264"/>
      </right>
      <top style="thin">
        <color theme="0"/>
      </top>
      <bottom style="thin">
        <color indexed="64"/>
      </bottom>
      <diagonal/>
    </border>
    <border>
      <left style="thin">
        <color indexed="64"/>
      </left>
      <right style="thin">
        <color rgb="FF1E3C50"/>
      </right>
      <top style="thin">
        <color indexed="64"/>
      </top>
      <bottom/>
      <diagonal/>
    </border>
    <border>
      <left style="thin">
        <color indexed="64"/>
      </left>
      <right style="thin">
        <color rgb="FF1E3C50"/>
      </right>
      <top/>
      <bottom/>
      <diagonal/>
    </border>
    <border>
      <left style="thin">
        <color indexed="64"/>
      </left>
      <right style="thin">
        <color rgb="FF1E3C50"/>
      </right>
      <top/>
      <bottom style="thin">
        <color indexed="64"/>
      </bottom>
      <diagonal/>
    </border>
    <border>
      <left/>
      <right/>
      <top style="thin">
        <color indexed="64"/>
      </top>
      <bottom style="thin">
        <color rgb="FF1E3C50"/>
      </bottom>
      <diagonal/>
    </border>
    <border>
      <left/>
      <right style="thin">
        <color indexed="64"/>
      </right>
      <top style="thin">
        <color indexed="64"/>
      </top>
      <bottom style="thin">
        <color rgb="FF1E3C50"/>
      </bottom>
      <diagonal/>
    </border>
    <border>
      <left/>
      <right style="thin">
        <color rgb="FF002060"/>
      </right>
      <top style="thin">
        <color rgb="FF002060"/>
      </top>
      <bottom style="thin">
        <color rgb="FF002060"/>
      </bottom>
      <diagonal/>
    </border>
    <border>
      <left/>
      <right style="thin">
        <color rgb="FF002060"/>
      </right>
      <top/>
      <bottom/>
      <diagonal/>
    </border>
    <border>
      <left style="thin">
        <color rgb="FF1E3C50"/>
      </left>
      <right/>
      <top style="thin">
        <color rgb="FF1E3C50"/>
      </top>
      <bottom style="thin">
        <color rgb="FF002060"/>
      </bottom>
      <diagonal/>
    </border>
    <border>
      <left style="thin">
        <color rgb="FF1E3C50"/>
      </left>
      <right style="thin">
        <color rgb="FF002060"/>
      </right>
      <top/>
      <bottom style="thin">
        <color theme="0" tint="-0.24994659260841701"/>
      </bottom>
      <diagonal/>
    </border>
    <border>
      <left/>
      <right style="thin">
        <color rgb="FF002060"/>
      </right>
      <top/>
      <bottom style="thin">
        <color theme="0" tint="-0.24994659260841701"/>
      </bottom>
      <diagonal/>
    </border>
    <border>
      <left/>
      <right style="thin">
        <color rgb="FF002060"/>
      </right>
      <top style="thin">
        <color theme="0" tint="-0.24994659260841701"/>
      </top>
      <bottom style="thin">
        <color theme="0" tint="-0.24994659260841701"/>
      </bottom>
      <diagonal/>
    </border>
    <border>
      <left style="thin">
        <color rgb="FF1E3C50"/>
      </left>
      <right style="thin">
        <color rgb="FF002060"/>
      </right>
      <top style="thin">
        <color theme="0" tint="-0.24994659260841701"/>
      </top>
      <bottom/>
      <diagonal/>
    </border>
    <border>
      <left style="thin">
        <color rgb="FF002060"/>
      </left>
      <right style="thin">
        <color rgb="FF002060"/>
      </right>
      <top style="thin">
        <color theme="0" tint="-0.24994659260841701"/>
      </top>
      <bottom/>
      <diagonal/>
    </border>
    <border>
      <left style="thin">
        <color rgb="FF1E3C50"/>
      </left>
      <right style="thin">
        <color rgb="FF002060"/>
      </right>
      <top/>
      <bottom style="thin">
        <color rgb="FF1E3C50"/>
      </bottom>
      <diagonal/>
    </border>
    <border>
      <left/>
      <right style="thin">
        <color rgb="FF1E3C50"/>
      </right>
      <top style="thin">
        <color rgb="FF1E3C50"/>
      </top>
      <bottom style="thin">
        <color rgb="FF002060"/>
      </bottom>
      <diagonal/>
    </border>
    <border>
      <left/>
      <right style="thin">
        <color rgb="FF1E3C50"/>
      </right>
      <top/>
      <bottom style="thin">
        <color theme="0" tint="-0.24994659260841701"/>
      </bottom>
      <diagonal/>
    </border>
    <border>
      <left/>
      <right style="thin">
        <color rgb="FF1E3C50"/>
      </right>
      <top style="thin">
        <color theme="0" tint="-0.24994659260841701"/>
      </top>
      <bottom style="thin">
        <color theme="0" tint="-0.24994659260841701"/>
      </bottom>
      <diagonal/>
    </border>
    <border>
      <left style="thin">
        <color rgb="FF002060"/>
      </left>
      <right style="thin">
        <color rgb="FF1E3C50"/>
      </right>
      <top style="thin">
        <color theme="0" tint="-0.24994659260841701"/>
      </top>
      <bottom/>
      <diagonal/>
    </border>
    <border>
      <left style="thin">
        <color rgb="FF002060"/>
      </left>
      <right style="thin">
        <color rgb="FF1E3C50"/>
      </right>
      <top/>
      <bottom style="thin">
        <color rgb="FF1E3C50"/>
      </bottom>
      <diagonal/>
    </border>
    <border>
      <left style="thin">
        <color rgb="FF1E3C50"/>
      </left>
      <right/>
      <top style="thin">
        <color rgb="FF1E3C50"/>
      </top>
      <bottom style="thin">
        <color rgb="FF1E3C50"/>
      </bottom>
      <diagonal/>
    </border>
    <border>
      <left style="thin">
        <color rgb="FF002060"/>
      </left>
      <right style="thin">
        <color rgb="FF1E3C50"/>
      </right>
      <top style="thin">
        <color theme="0" tint="-0.24994659260841701"/>
      </top>
      <bottom style="thin">
        <color theme="2" tint="-9.9978637043366805E-2"/>
      </bottom>
      <diagonal/>
    </border>
    <border>
      <left style="thin">
        <color rgb="FF002060"/>
      </left>
      <right style="thin">
        <color rgb="FF1E3C50"/>
      </right>
      <top style="thin">
        <color theme="2" tint="-9.9978637043366805E-2"/>
      </top>
      <bottom style="thin">
        <color theme="2" tint="-9.9978637043366805E-2"/>
      </bottom>
      <diagonal/>
    </border>
    <border>
      <left/>
      <right style="thin">
        <color rgb="FF002060"/>
      </right>
      <top style="thin">
        <color theme="0" tint="-0.24994659260841701"/>
      </top>
      <bottom style="thin">
        <color rgb="FF1E3C50"/>
      </bottom>
      <diagonal/>
    </border>
    <border>
      <left style="thin">
        <color rgb="FF002060"/>
      </left>
      <right/>
      <top style="thin">
        <color rgb="FF002060"/>
      </top>
      <bottom style="thin">
        <color rgb="FF002060"/>
      </bottom>
      <diagonal/>
    </border>
    <border>
      <left style="thin">
        <color rgb="FF002060"/>
      </left>
      <right style="thin">
        <color rgb="FF002060"/>
      </right>
      <top/>
      <bottom style="thin">
        <color theme="0" tint="-0.24994659260841701"/>
      </bottom>
      <diagonal/>
    </border>
    <border>
      <left style="thin">
        <color rgb="FF002060"/>
      </left>
      <right style="thin">
        <color rgb="FF002060"/>
      </right>
      <top style="thin">
        <color theme="0" tint="-0.24994659260841701"/>
      </top>
      <bottom style="thin">
        <color theme="0" tint="-0.24994659260841701"/>
      </bottom>
      <diagonal/>
    </border>
    <border>
      <left/>
      <right style="thin">
        <color rgb="FF1E3C50"/>
      </right>
      <top/>
      <bottom/>
      <diagonal/>
    </border>
    <border>
      <left/>
      <right style="thin">
        <color rgb="FF1E3C50"/>
      </right>
      <top/>
      <bottom style="thin">
        <color rgb="FF1E3C50"/>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diagonal/>
    </border>
    <border>
      <left style="thin">
        <color rgb="FF002060"/>
      </left>
      <right style="thin">
        <color rgb="FF002060"/>
      </right>
      <top/>
      <bottom style="thin">
        <color indexed="64"/>
      </bottom>
      <diagonal/>
    </border>
    <border>
      <left style="thin">
        <color rgb="FF1E3C50"/>
      </left>
      <right style="thin">
        <color rgb="FF002060"/>
      </right>
      <top/>
      <bottom/>
      <diagonal/>
    </border>
    <border>
      <left/>
      <right style="thin">
        <color rgb="FF002060"/>
      </right>
      <top style="thin">
        <color theme="0" tint="-0.24994659260841701"/>
      </top>
      <bottom style="thin">
        <color indexed="64"/>
      </bottom>
      <diagonal/>
    </border>
    <border>
      <left style="thin">
        <color rgb="FF1E3C50"/>
      </left>
      <right style="thin">
        <color rgb="FF1E3C50"/>
      </right>
      <top style="thin">
        <color rgb="FF1E3C50"/>
      </top>
      <bottom style="thin">
        <color indexed="64"/>
      </bottom>
      <diagonal/>
    </border>
    <border>
      <left style="thin">
        <color rgb="FF1E3C50"/>
      </left>
      <right style="thin">
        <color rgb="FF002060"/>
      </right>
      <top/>
      <bottom style="thin">
        <color indexed="64"/>
      </bottom>
      <diagonal/>
    </border>
    <border>
      <left/>
      <right/>
      <top/>
      <bottom style="thin">
        <color indexed="64"/>
      </bottom>
      <diagonal/>
    </border>
    <border>
      <left/>
      <right style="thin">
        <color rgb="FF002060"/>
      </right>
      <top style="thin">
        <color theme="0" tint="-0.24994659260841701"/>
      </top>
      <bottom/>
      <diagonal/>
    </border>
    <border>
      <left style="thin">
        <color rgb="FF002060"/>
      </left>
      <right style="thin">
        <color rgb="FF1E3C50"/>
      </right>
      <top/>
      <bottom/>
      <diagonal/>
    </border>
    <border>
      <left/>
      <right style="thin">
        <color rgb="FF1E3C50"/>
      </right>
      <top style="thin">
        <color rgb="FF1E3C50"/>
      </top>
      <bottom style="thin">
        <color indexed="64"/>
      </bottom>
      <diagonal/>
    </border>
    <border>
      <left style="thin">
        <color rgb="FF288264"/>
      </left>
      <right style="thin">
        <color indexed="64"/>
      </right>
      <top style="thin">
        <color indexed="64"/>
      </top>
      <bottom style="thin">
        <color indexed="64"/>
      </bottom>
      <diagonal/>
    </border>
    <border>
      <left style="thin">
        <color rgb="FF1E3C50"/>
      </left>
      <right style="thin">
        <color rgb="FF288264"/>
      </right>
      <top style="thin">
        <color theme="0"/>
      </top>
      <bottom style="thin">
        <color indexed="64"/>
      </bottom>
      <diagonal/>
    </border>
    <border>
      <left style="thin">
        <color indexed="64"/>
      </left>
      <right style="thin">
        <color indexed="64"/>
      </right>
      <top style="thin">
        <color indexed="64"/>
      </top>
      <bottom style="thin">
        <color rgb="FF288264"/>
      </bottom>
      <diagonal/>
    </border>
    <border>
      <left/>
      <right/>
      <top style="thin">
        <color theme="0"/>
      </top>
      <bottom/>
      <diagonal/>
    </border>
    <border>
      <left style="thin">
        <color indexed="64"/>
      </left>
      <right style="thin">
        <color indexed="64"/>
      </right>
      <top style="thin">
        <color indexed="64"/>
      </top>
      <bottom/>
      <diagonal/>
    </border>
    <border>
      <left style="thin">
        <color rgb="FF002060"/>
      </left>
      <right style="thin">
        <color rgb="FF1E3C50"/>
      </right>
      <top/>
      <bottom style="thin">
        <color theme="2" tint="-9.9978637043366805E-2"/>
      </bottom>
      <diagonal/>
    </border>
    <border>
      <left style="thin">
        <color rgb="FF1E3C50"/>
      </left>
      <right/>
      <top/>
      <bottom style="thin">
        <color theme="0" tint="-0.24994659260841701"/>
      </bottom>
      <diagonal/>
    </border>
    <border>
      <left style="thin">
        <color rgb="FF1E3C50"/>
      </left>
      <right style="thin">
        <color rgb="FF002060"/>
      </right>
      <top style="thin">
        <color theme="0" tint="-0.24994659260841701"/>
      </top>
      <bottom style="thin">
        <color indexed="64"/>
      </bottom>
      <diagonal/>
    </border>
    <border>
      <left style="thin">
        <color rgb="FF002060"/>
      </left>
      <right style="thin">
        <color rgb="FF1E3C50"/>
      </right>
      <top/>
      <bottom style="thin">
        <color indexed="64"/>
      </bottom>
      <diagonal/>
    </border>
    <border>
      <left style="thin">
        <color rgb="FF1E3C50"/>
      </left>
      <right/>
      <top style="thin">
        <color indexed="64"/>
      </top>
      <bottom/>
      <diagonal/>
    </border>
  </borders>
  <cellStyleXfs count="3">
    <xf numFmtId="0" fontId="0" fillId="0" borderId="0"/>
    <xf numFmtId="0" fontId="1" fillId="0" borderId="0" applyNumberFormat="0" applyFill="0" applyBorder="0" applyAlignment="0" applyProtection="0"/>
    <xf numFmtId="0" fontId="16" fillId="0" borderId="0" applyNumberFormat="0" applyFill="0" applyBorder="0" applyAlignment="0" applyProtection="0"/>
  </cellStyleXfs>
  <cellXfs count="251">
    <xf numFmtId="0" fontId="0" fillId="0" borderId="0" xfId="0"/>
    <xf numFmtId="0" fontId="2" fillId="0" borderId="0" xfId="0" applyFont="1"/>
    <xf numFmtId="0" fontId="0" fillId="0" borderId="0" xfId="0" quotePrefix="1"/>
    <xf numFmtId="0" fontId="0" fillId="3" borderId="0" xfId="0" applyFill="1" applyAlignment="1">
      <alignment horizontal="left" vertical="top" wrapText="1"/>
    </xf>
    <xf numFmtId="0" fontId="2" fillId="3" borderId="0" xfId="0" applyFont="1" applyFill="1" applyAlignment="1">
      <alignment horizontal="left" vertical="top" wrapText="1"/>
    </xf>
    <xf numFmtId="0" fontId="10" fillId="2" borderId="0" xfId="0" applyFont="1" applyFill="1" applyAlignment="1">
      <alignment vertical="top"/>
    </xf>
    <xf numFmtId="0" fontId="7" fillId="2" borderId="0" xfId="0" applyFont="1" applyFill="1" applyAlignment="1">
      <alignment vertical="top"/>
    </xf>
    <xf numFmtId="0" fontId="10" fillId="0" borderId="0" xfId="0" applyFont="1" applyAlignment="1">
      <alignment vertical="top"/>
    </xf>
    <xf numFmtId="0" fontId="4" fillId="2" borderId="0" xfId="0" applyFont="1" applyFill="1" applyAlignment="1">
      <alignment horizontal="left" vertical="top"/>
    </xf>
    <xf numFmtId="0" fontId="14" fillId="2" borderId="0" xfId="0" applyFont="1" applyFill="1" applyAlignment="1">
      <alignment horizontal="left" vertical="top"/>
    </xf>
    <xf numFmtId="0" fontId="10" fillId="2" borderId="11" xfId="0" applyFont="1" applyFill="1" applyBorder="1" applyAlignment="1">
      <alignment vertical="top"/>
    </xf>
    <xf numFmtId="0" fontId="6" fillId="2" borderId="0" xfId="0" applyFont="1" applyFill="1" applyAlignment="1">
      <alignment horizontal="left" vertical="top" wrapText="1"/>
    </xf>
    <xf numFmtId="0" fontId="13" fillId="3" borderId="0" xfId="0" applyFont="1" applyFill="1" applyAlignment="1">
      <alignment horizontal="left" vertical="top"/>
    </xf>
    <xf numFmtId="0" fontId="10" fillId="3" borderId="0" xfId="0" applyFont="1" applyFill="1" applyAlignment="1">
      <alignment vertical="top"/>
    </xf>
    <xf numFmtId="0" fontId="12" fillId="3" borderId="0" xfId="0" applyFont="1" applyFill="1" applyAlignment="1">
      <alignment horizontal="left" vertical="top"/>
    </xf>
    <xf numFmtId="0" fontId="9" fillId="3" borderId="0" xfId="0" applyFont="1" applyFill="1" applyAlignment="1">
      <alignment horizontal="left" vertical="top" wrapText="1"/>
    </xf>
    <xf numFmtId="0" fontId="10" fillId="3" borderId="0" xfId="0" applyFont="1" applyFill="1" applyAlignment="1">
      <alignment horizontal="left" vertical="top" wrapText="1"/>
    </xf>
    <xf numFmtId="0" fontId="11" fillId="3" borderId="0" xfId="0" applyFont="1" applyFill="1" applyAlignment="1">
      <alignment horizontal="left" vertical="top" wrapText="1"/>
    </xf>
    <xf numFmtId="0" fontId="10" fillId="3" borderId="0" xfId="0" applyFont="1" applyFill="1" applyAlignment="1">
      <alignment horizontal="left" vertical="top"/>
    </xf>
    <xf numFmtId="0" fontId="10" fillId="3" borderId="0" xfId="0" applyFont="1" applyFill="1" applyAlignment="1">
      <alignment vertical="top" wrapText="1"/>
    </xf>
    <xf numFmtId="14" fontId="7" fillId="2" borderId="35" xfId="0" applyNumberFormat="1" applyFont="1" applyFill="1" applyBorder="1" applyAlignment="1" applyProtection="1">
      <alignment horizontal="left" vertical="top" wrapText="1"/>
      <protection locked="0"/>
    </xf>
    <xf numFmtId="0" fontId="2" fillId="8" borderId="23" xfId="0" applyFont="1" applyFill="1" applyBorder="1"/>
    <xf numFmtId="0" fontId="0" fillId="0" borderId="41" xfId="0" applyBorder="1" applyAlignment="1" applyProtection="1">
      <alignment horizontal="left" vertical="top" wrapText="1"/>
      <protection locked="0"/>
    </xf>
    <xf numFmtId="0" fontId="2" fillId="8" borderId="28" xfId="0" applyFont="1" applyFill="1" applyBorder="1"/>
    <xf numFmtId="0" fontId="0" fillId="0" borderId="42" xfId="0" applyBorder="1" applyAlignment="1" applyProtection="1">
      <alignment horizontal="left" vertical="top" wrapText="1"/>
      <protection locked="0"/>
    </xf>
    <xf numFmtId="0" fontId="23" fillId="9" borderId="43" xfId="0" applyFont="1" applyFill="1" applyBorder="1"/>
    <xf numFmtId="0" fontId="22" fillId="0" borderId="43" xfId="0" applyFont="1" applyBorder="1"/>
    <xf numFmtId="0" fontId="23" fillId="9" borderId="50" xfId="0" applyFont="1" applyFill="1" applyBorder="1"/>
    <xf numFmtId="0" fontId="2" fillId="0" borderId="43" xfId="0" applyFont="1" applyBorder="1"/>
    <xf numFmtId="0" fontId="0" fillId="0" borderId="43" xfId="0" applyBorder="1"/>
    <xf numFmtId="0" fontId="0" fillId="3" borderId="0" xfId="0" applyFill="1" applyAlignment="1">
      <alignment horizontal="left" vertical="center" wrapText="1"/>
    </xf>
    <xf numFmtId="0" fontId="3" fillId="2" borderId="0" xfId="0" applyFont="1" applyFill="1" applyAlignment="1">
      <alignment horizontal="left" vertical="top" wrapText="1"/>
    </xf>
    <xf numFmtId="0" fontId="3" fillId="3" borderId="0" xfId="0" applyFont="1" applyFill="1" applyAlignment="1">
      <alignment horizontal="left" vertical="top" wrapText="1"/>
    </xf>
    <xf numFmtId="0" fontId="26" fillId="5" borderId="8" xfId="0" applyFont="1" applyFill="1" applyBorder="1" applyAlignment="1">
      <alignment horizontal="center" vertical="center" textRotation="90"/>
    </xf>
    <xf numFmtId="0" fontId="7" fillId="0" borderId="4" xfId="0" applyFont="1" applyBorder="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Alignment="1">
      <alignment horizontal="left" vertical="center"/>
    </xf>
    <xf numFmtId="0" fontId="7" fillId="0" borderId="4" xfId="0" applyFont="1" applyBorder="1" applyAlignment="1">
      <alignment horizontal="left" vertical="center"/>
    </xf>
    <xf numFmtId="0" fontId="10" fillId="2" borderId="0" xfId="0" applyFont="1" applyFill="1" applyAlignment="1">
      <alignment horizontal="left" vertical="top"/>
    </xf>
    <xf numFmtId="0" fontId="7" fillId="2" borderId="0" xfId="0" applyFont="1" applyFill="1" applyAlignment="1">
      <alignment horizontal="left" vertical="top" wrapText="1"/>
    </xf>
    <xf numFmtId="0" fontId="8" fillId="3" borderId="0" xfId="0" applyFont="1" applyFill="1" applyAlignment="1">
      <alignment horizontal="left" vertical="center" textRotation="90" wrapText="1"/>
    </xf>
    <xf numFmtId="0" fontId="0" fillId="2" borderId="2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0" xfId="0" applyFill="1" applyProtection="1">
      <protection locked="0"/>
    </xf>
    <xf numFmtId="0" fontId="2" fillId="2" borderId="0" xfId="0" applyFont="1" applyFill="1" applyAlignment="1" applyProtection="1">
      <alignment horizontal="left" vertical="top" wrapText="1"/>
      <protection locked="0"/>
    </xf>
    <xf numFmtId="0" fontId="4" fillId="5" borderId="38" xfId="0" applyFont="1" applyFill="1" applyBorder="1" applyProtection="1">
      <protection locked="0"/>
    </xf>
    <xf numFmtId="0" fontId="4" fillId="5" borderId="20" xfId="0" applyFont="1" applyFill="1" applyBorder="1" applyProtection="1">
      <protection locked="0"/>
    </xf>
    <xf numFmtId="0" fontId="4" fillId="5" borderId="0" xfId="0" applyFont="1" applyFill="1" applyAlignment="1" applyProtection="1">
      <alignment horizontal="left"/>
      <protection locked="0"/>
    </xf>
    <xf numFmtId="0" fontId="4" fillId="5" borderId="2" xfId="0" applyFont="1" applyFill="1" applyBorder="1" applyAlignment="1" applyProtection="1">
      <alignment horizontal="left"/>
      <protection locked="0"/>
    </xf>
    <xf numFmtId="0" fontId="19" fillId="2" borderId="0" xfId="0" applyFont="1" applyFill="1" applyProtection="1">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horizontal="left" vertical="center"/>
      <protection locked="0"/>
    </xf>
    <xf numFmtId="0" fontId="0" fillId="2" borderId="6" xfId="0" applyFill="1" applyBorder="1" applyProtection="1">
      <protection locked="0"/>
    </xf>
    <xf numFmtId="0" fontId="4" fillId="2" borderId="0" xfId="0" applyFont="1" applyFill="1" applyProtection="1">
      <protection locked="0"/>
    </xf>
    <xf numFmtId="0" fontId="2" fillId="4" borderId="23" xfId="0" applyFont="1" applyFill="1" applyBorder="1" applyAlignment="1" applyProtection="1">
      <alignment horizontal="left" vertical="top"/>
      <protection locked="0"/>
    </xf>
    <xf numFmtId="0" fontId="0" fillId="3" borderId="0" xfId="0" applyFill="1" applyAlignment="1" applyProtection="1">
      <alignment horizontal="left" vertical="top" wrapText="1"/>
      <protection locked="0"/>
    </xf>
    <xf numFmtId="0" fontId="5" fillId="2" borderId="0" xfId="1" applyFont="1" applyFill="1" applyAlignment="1" applyProtection="1">
      <alignment vertical="top" wrapText="1"/>
      <protection locked="0"/>
    </xf>
    <xf numFmtId="0" fontId="5" fillId="2" borderId="0" xfId="1" applyFont="1" applyFill="1" applyAlignment="1" applyProtection="1">
      <alignment horizontal="left" vertical="top"/>
      <protection locked="0"/>
    </xf>
    <xf numFmtId="0" fontId="0" fillId="0" borderId="43" xfId="0" applyBorder="1" applyProtection="1">
      <protection locked="0"/>
    </xf>
    <xf numFmtId="0" fontId="4" fillId="5" borderId="29" xfId="0" applyFont="1" applyFill="1" applyBorder="1" applyAlignment="1">
      <alignment horizontal="left" vertical="center"/>
    </xf>
    <xf numFmtId="0" fontId="11" fillId="5" borderId="3" xfId="0" applyFont="1" applyFill="1" applyBorder="1" applyAlignment="1">
      <alignment horizontal="left" vertical="center" wrapText="1"/>
    </xf>
    <xf numFmtId="0" fontId="11" fillId="5" borderId="3" xfId="0" applyFont="1" applyFill="1" applyBorder="1" applyAlignment="1">
      <alignment horizontal="left" vertical="top" wrapText="1"/>
    </xf>
    <xf numFmtId="0" fontId="2" fillId="4" borderId="0" xfId="0" applyFont="1" applyFill="1" applyAlignment="1">
      <alignment vertical="center"/>
    </xf>
    <xf numFmtId="49" fontId="24" fillId="3" borderId="0" xfId="0" applyNumberFormat="1" applyFont="1" applyFill="1" applyAlignment="1">
      <alignment horizontal="left" vertical="top"/>
    </xf>
    <xf numFmtId="0" fontId="25" fillId="3" borderId="0" xfId="0" applyFont="1" applyFill="1" applyAlignment="1">
      <alignment horizontal="left" vertical="top"/>
    </xf>
    <xf numFmtId="0" fontId="25" fillId="3" borderId="0" xfId="0" applyFont="1" applyFill="1" applyAlignment="1">
      <alignment vertical="top"/>
    </xf>
    <xf numFmtId="0" fontId="0" fillId="2" borderId="0" xfId="0" applyFill="1" applyAlignment="1" applyProtection="1">
      <alignment vertical="top" wrapText="1"/>
      <protection locked="0"/>
    </xf>
    <xf numFmtId="0" fontId="5" fillId="2" borderId="0" xfId="1" applyFont="1" applyFill="1" applyAlignment="1" applyProtection="1">
      <alignment vertical="top"/>
      <protection locked="0"/>
    </xf>
    <xf numFmtId="0" fontId="4" fillId="5" borderId="2" xfId="0" applyFont="1" applyFill="1" applyBorder="1" applyProtection="1">
      <protection locked="0"/>
    </xf>
    <xf numFmtId="0" fontId="0" fillId="2" borderId="24" xfId="0" applyFill="1" applyBorder="1" applyAlignment="1" applyProtection="1">
      <alignment vertical="top" wrapText="1"/>
      <protection locked="0"/>
    </xf>
    <xf numFmtId="14" fontId="7" fillId="2" borderId="35" xfId="0" applyNumberFormat="1" applyFont="1" applyFill="1" applyBorder="1" applyAlignment="1" applyProtection="1">
      <alignment vertical="top" wrapText="1"/>
      <protection locked="0"/>
    </xf>
    <xf numFmtId="0" fontId="0" fillId="3" borderId="0" xfId="0" applyFill="1" applyAlignment="1">
      <alignment vertical="top" wrapText="1"/>
    </xf>
    <xf numFmtId="0" fontId="0" fillId="0" borderId="41" xfId="0" applyBorder="1" applyAlignment="1" applyProtection="1">
      <alignment vertical="top" wrapText="1"/>
      <protection locked="0"/>
    </xf>
    <xf numFmtId="0" fontId="0" fillId="0" borderId="42" xfId="0" applyBorder="1" applyAlignment="1" applyProtection="1">
      <alignment vertical="top" wrapText="1"/>
      <protection locked="0"/>
    </xf>
    <xf numFmtId="0" fontId="2" fillId="4" borderId="26" xfId="0" applyFont="1" applyFill="1" applyBorder="1" applyAlignment="1" applyProtection="1">
      <alignment horizontal="left" vertical="top"/>
      <protection locked="0"/>
    </xf>
    <xf numFmtId="14" fontId="0" fillId="3" borderId="24" xfId="0" applyNumberFormat="1" applyFill="1" applyBorder="1" applyAlignment="1">
      <alignment horizontal="left" vertical="top" wrapText="1"/>
    </xf>
    <xf numFmtId="0" fontId="0" fillId="3" borderId="24" xfId="0" applyFill="1" applyBorder="1" applyAlignment="1">
      <alignment horizontal="left" vertical="top" wrapText="1"/>
    </xf>
    <xf numFmtId="0" fontId="2" fillId="4" borderId="28" xfId="0" applyFont="1" applyFill="1" applyBorder="1" applyAlignment="1" applyProtection="1">
      <alignment horizontal="left" vertical="top"/>
      <protection locked="0"/>
    </xf>
    <xf numFmtId="0" fontId="0" fillId="2" borderId="0" xfId="0" applyFill="1" applyAlignment="1" applyProtection="1">
      <alignment vertical="top"/>
      <protection locked="0"/>
    </xf>
    <xf numFmtId="0" fontId="0" fillId="0" borderId="24" xfId="0" applyBorder="1" applyAlignment="1" applyProtection="1">
      <alignment horizontal="left" vertical="top" wrapText="1"/>
      <protection locked="0"/>
    </xf>
    <xf numFmtId="9" fontId="0" fillId="2" borderId="25" xfId="0" applyNumberFormat="1"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2" borderId="47" xfId="0" applyFill="1" applyBorder="1" applyAlignment="1" applyProtection="1">
      <alignment horizontal="left" vertical="top" wrapText="1"/>
      <protection locked="0"/>
    </xf>
    <xf numFmtId="0" fontId="2" fillId="4" borderId="23" xfId="0" applyFont="1" applyFill="1" applyBorder="1" applyAlignment="1" applyProtection="1">
      <alignment vertical="top"/>
      <protection locked="0"/>
    </xf>
    <xf numFmtId="0" fontId="2" fillId="4" borderId="23" xfId="0" applyFont="1" applyFill="1" applyBorder="1" applyAlignment="1" applyProtection="1">
      <alignment vertical="top" wrapText="1"/>
      <protection locked="0"/>
    </xf>
    <xf numFmtId="14" fontId="0" fillId="2" borderId="24" xfId="0" applyNumberFormat="1" applyFill="1" applyBorder="1" applyAlignment="1" applyProtection="1">
      <alignment horizontal="left" vertical="top" wrapText="1"/>
      <protection locked="0"/>
    </xf>
    <xf numFmtId="0" fontId="2" fillId="4" borderId="39" xfId="0" applyFont="1" applyFill="1" applyBorder="1" applyAlignment="1" applyProtection="1">
      <alignment horizontal="left" vertical="top"/>
      <protection locked="0"/>
    </xf>
    <xf numFmtId="0" fontId="0" fillId="3" borderId="24" xfId="0" applyFill="1" applyBorder="1" applyAlignment="1" applyProtection="1">
      <alignment horizontal="left" vertical="top" wrapText="1"/>
      <protection locked="0"/>
    </xf>
    <xf numFmtId="0" fontId="2" fillId="4" borderId="40" xfId="0" applyFont="1" applyFill="1" applyBorder="1" applyAlignment="1" applyProtection="1">
      <alignment vertical="top"/>
      <protection locked="0"/>
    </xf>
    <xf numFmtId="0" fontId="2" fillId="4" borderId="40" xfId="0" applyFont="1" applyFill="1" applyBorder="1" applyAlignment="1" applyProtection="1">
      <alignment vertical="top" wrapText="1"/>
      <protection locked="0"/>
    </xf>
    <xf numFmtId="164" fontId="0" fillId="3" borderId="24" xfId="0" applyNumberFormat="1" applyFill="1" applyBorder="1" applyAlignment="1">
      <alignment horizontal="left" vertical="top" wrapText="1"/>
    </xf>
    <xf numFmtId="165" fontId="0" fillId="2" borderId="25" xfId="0" applyNumberFormat="1" applyFill="1" applyBorder="1" applyAlignment="1" applyProtection="1">
      <alignment horizontal="left" vertical="top" wrapText="1"/>
      <protection locked="0"/>
    </xf>
    <xf numFmtId="0" fontId="22" fillId="0" borderId="43" xfId="0" applyFont="1" applyBorder="1" applyAlignment="1">
      <alignment vertical="top"/>
    </xf>
    <xf numFmtId="0" fontId="0" fillId="0" borderId="0" xfId="0" applyAlignment="1">
      <alignment horizontal="center"/>
    </xf>
    <xf numFmtId="0" fontId="0" fillId="3" borderId="24" xfId="0" applyFill="1" applyBorder="1" applyAlignment="1">
      <alignment vertical="top" wrapText="1"/>
    </xf>
    <xf numFmtId="164" fontId="0" fillId="3" borderId="24" xfId="0" applyNumberFormat="1" applyFill="1" applyBorder="1" applyAlignment="1" applyProtection="1">
      <alignment horizontal="left" vertical="top" wrapText="1"/>
      <protection locked="0"/>
    </xf>
    <xf numFmtId="165" fontId="0" fillId="0" borderId="25" xfId="0" applyNumberFormat="1" applyBorder="1" applyAlignment="1" applyProtection="1">
      <alignment horizontal="left" vertical="top" wrapText="1"/>
      <protection locked="0"/>
    </xf>
    <xf numFmtId="14" fontId="0" fillId="0" borderId="24" xfId="0" applyNumberFormat="1" applyBorder="1" applyAlignment="1" applyProtection="1">
      <alignment horizontal="left" vertical="top" wrapText="1"/>
      <protection locked="0"/>
    </xf>
    <xf numFmtId="0" fontId="7" fillId="0" borderId="7" xfId="0" applyFont="1" applyBorder="1" applyAlignment="1">
      <alignment horizontal="left" vertical="center"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7" fillId="0" borderId="54" xfId="0" applyFont="1" applyBorder="1" applyAlignment="1">
      <alignment horizontal="left" vertical="center" wrapText="1"/>
    </xf>
    <xf numFmtId="0" fontId="6" fillId="4" borderId="55" xfId="0" applyFont="1" applyFill="1" applyBorder="1" applyAlignment="1">
      <alignment horizontal="left" vertical="top" wrapText="1"/>
    </xf>
    <xf numFmtId="0" fontId="29" fillId="0" borderId="1" xfId="2" applyFont="1" applyBorder="1" applyAlignment="1">
      <alignment horizontal="left" vertical="center" wrapText="1"/>
    </xf>
    <xf numFmtId="0" fontId="3" fillId="2" borderId="0" xfId="0" applyFont="1" applyFill="1" applyProtection="1">
      <protection hidden="1"/>
    </xf>
    <xf numFmtId="0" fontId="14" fillId="2" borderId="0" xfId="0" applyFont="1" applyFill="1" applyAlignment="1">
      <alignment horizontal="left" vertical="top" wrapText="1"/>
    </xf>
    <xf numFmtId="0" fontId="13" fillId="2" borderId="0" xfId="0" applyFont="1" applyFill="1" applyAlignment="1">
      <alignment horizontal="left" vertical="top"/>
    </xf>
    <xf numFmtId="0" fontId="10" fillId="2" borderId="0" xfId="0" applyFont="1" applyFill="1" applyAlignment="1">
      <alignment vertical="top" wrapText="1"/>
    </xf>
    <xf numFmtId="0" fontId="6" fillId="4" borderId="0" xfId="0" applyFont="1" applyFill="1" applyAlignment="1">
      <alignment horizontal="left" vertical="top" wrapText="1"/>
    </xf>
    <xf numFmtId="0" fontId="6" fillId="4" borderId="57" xfId="0" applyFont="1" applyFill="1" applyBorder="1" applyAlignment="1">
      <alignment horizontal="left" vertical="top" wrapText="1"/>
    </xf>
    <xf numFmtId="0" fontId="7" fillId="0" borderId="58" xfId="0" applyFont="1" applyBorder="1" applyAlignment="1">
      <alignment horizontal="left" vertical="center"/>
    </xf>
    <xf numFmtId="0" fontId="7" fillId="0" borderId="56" xfId="0" applyFont="1" applyBorder="1" applyAlignment="1">
      <alignment horizontal="left" vertical="center"/>
    </xf>
    <xf numFmtId="0" fontId="24" fillId="3" borderId="0" xfId="0" applyFont="1" applyFill="1" applyAlignment="1">
      <alignment horizontal="left" vertical="top"/>
    </xf>
    <xf numFmtId="0" fontId="2" fillId="4" borderId="60" xfId="0" applyFont="1" applyFill="1" applyBorder="1" applyAlignment="1" applyProtection="1">
      <alignment horizontal="left" vertical="top"/>
      <protection locked="0"/>
    </xf>
    <xf numFmtId="166" fontId="7" fillId="3" borderId="36" xfId="0" applyNumberFormat="1" applyFont="1" applyFill="1" applyBorder="1" applyAlignment="1">
      <alignment horizontal="left" vertical="top" wrapText="1"/>
    </xf>
    <xf numFmtId="166" fontId="7" fillId="3" borderId="59" xfId="0" applyNumberFormat="1" applyFont="1" applyFill="1" applyBorder="1" applyAlignment="1">
      <alignment horizontal="left" vertical="top" wrapText="1"/>
    </xf>
    <xf numFmtId="164" fontId="0" fillId="0" borderId="24" xfId="0" applyNumberFormat="1" applyBorder="1" applyAlignment="1" applyProtection="1">
      <alignment horizontal="left" vertical="top" wrapText="1"/>
      <protection locked="0"/>
    </xf>
    <xf numFmtId="0" fontId="2" fillId="4" borderId="61" xfId="0" applyFont="1" applyFill="1" applyBorder="1" applyAlignment="1" applyProtection="1">
      <alignment horizontal="left" vertical="top"/>
      <protection locked="0"/>
    </xf>
    <xf numFmtId="0" fontId="0" fillId="3" borderId="47" xfId="0" applyFill="1" applyBorder="1" applyAlignment="1">
      <alignment horizontal="left" vertical="top" wrapText="1"/>
    </xf>
    <xf numFmtId="0" fontId="0" fillId="10" borderId="25" xfId="0" applyFill="1" applyBorder="1" applyAlignment="1" applyProtection="1">
      <alignment horizontal="left" vertical="top" wrapText="1"/>
      <protection locked="0"/>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top" wrapText="1"/>
    </xf>
    <xf numFmtId="0" fontId="8" fillId="5" borderId="22" xfId="0" applyFont="1" applyFill="1" applyBorder="1" applyAlignment="1">
      <alignment horizontal="left" vertical="center"/>
    </xf>
    <xf numFmtId="14" fontId="0" fillId="2" borderId="0" xfId="0" applyNumberFormat="1" applyFill="1" applyProtection="1">
      <protection locked="0"/>
    </xf>
    <xf numFmtId="0" fontId="20" fillId="7" borderId="53" xfId="0" applyFont="1" applyFill="1" applyBorder="1" applyAlignment="1" applyProtection="1">
      <alignment horizontal="left"/>
      <protection locked="0"/>
    </xf>
    <xf numFmtId="0" fontId="0" fillId="8" borderId="31" xfId="0" applyFill="1" applyBorder="1" applyAlignment="1" applyProtection="1">
      <alignment wrapText="1"/>
      <protection locked="0"/>
    </xf>
    <xf numFmtId="0" fontId="20" fillId="7" borderId="48" xfId="0" applyFont="1" applyFill="1" applyBorder="1" applyAlignment="1" applyProtection="1">
      <alignment horizontal="left"/>
      <protection locked="0"/>
    </xf>
    <xf numFmtId="0" fontId="0" fillId="8" borderId="30" xfId="0" applyFill="1" applyBorder="1" applyAlignment="1" applyProtection="1">
      <alignment wrapText="1"/>
      <protection locked="0"/>
    </xf>
    <xf numFmtId="0" fontId="0" fillId="8" borderId="42" xfId="0" applyFill="1" applyBorder="1" applyAlignment="1" applyProtection="1">
      <alignment wrapText="1"/>
      <protection locked="0"/>
    </xf>
    <xf numFmtId="0" fontId="0" fillId="8" borderId="24" xfId="0" applyFill="1" applyBorder="1" applyAlignment="1" applyProtection="1">
      <alignment wrapText="1"/>
      <protection locked="0"/>
    </xf>
    <xf numFmtId="14" fontId="7" fillId="8" borderId="35" xfId="0" applyNumberFormat="1" applyFont="1" applyFill="1" applyBorder="1" applyAlignment="1" applyProtection="1">
      <alignment horizontal="left" vertical="top" wrapText="1"/>
      <protection locked="0"/>
    </xf>
    <xf numFmtId="166" fontId="7" fillId="8" borderId="36" xfId="0" applyNumberFormat="1" applyFont="1" applyFill="1" applyBorder="1" applyAlignment="1" applyProtection="1">
      <alignment horizontal="left" vertical="top" wrapText="1"/>
      <protection locked="0"/>
    </xf>
    <xf numFmtId="9" fontId="0" fillId="8" borderId="25" xfId="0" applyNumberFormat="1" applyFill="1" applyBorder="1" applyAlignment="1" applyProtection="1">
      <alignment horizontal="left" wrapText="1"/>
      <protection locked="0"/>
    </xf>
    <xf numFmtId="0" fontId="0" fillId="8" borderId="25" xfId="0" applyFill="1" applyBorder="1" applyAlignment="1" applyProtection="1">
      <alignment wrapText="1"/>
      <protection locked="0"/>
    </xf>
    <xf numFmtId="0" fontId="0" fillId="8" borderId="51" xfId="0" applyFill="1" applyBorder="1" applyAlignment="1" applyProtection="1">
      <alignment wrapText="1"/>
      <protection locked="0"/>
    </xf>
    <xf numFmtId="0" fontId="0" fillId="8" borderId="24" xfId="0" applyFill="1" applyBorder="1" applyAlignment="1" applyProtection="1">
      <alignment vertical="top" wrapText="1"/>
      <protection locked="0"/>
    </xf>
    <xf numFmtId="0" fontId="0" fillId="2" borderId="21" xfId="0" applyFill="1" applyBorder="1" applyProtection="1">
      <protection locked="0"/>
    </xf>
    <xf numFmtId="0" fontId="0" fillId="8" borderId="37" xfId="0" applyFill="1" applyBorder="1" applyAlignment="1">
      <alignment wrapText="1"/>
    </xf>
    <xf numFmtId="14" fontId="0" fillId="3" borderId="24" xfId="0" applyNumberFormat="1" applyFill="1" applyBorder="1" applyAlignment="1">
      <alignment wrapText="1"/>
    </xf>
    <xf numFmtId="0" fontId="0" fillId="3" borderId="47" xfId="0" applyFill="1" applyBorder="1" applyAlignment="1">
      <alignment wrapText="1"/>
    </xf>
    <xf numFmtId="167" fontId="7" fillId="3" borderId="36" xfId="0" applyNumberFormat="1" applyFont="1" applyFill="1" applyBorder="1" applyAlignment="1">
      <alignment horizontal="left" vertical="top" wrapText="1"/>
    </xf>
    <xf numFmtId="0" fontId="0" fillId="8" borderId="24" xfId="0" applyFill="1" applyBorder="1" applyAlignment="1" applyProtection="1">
      <alignment horizontal="left" vertical="top" wrapText="1"/>
      <protection locked="0"/>
    </xf>
    <xf numFmtId="9" fontId="0" fillId="8" borderId="25" xfId="0" applyNumberFormat="1" applyFill="1" applyBorder="1" applyAlignment="1" applyProtection="1">
      <alignment horizontal="left" vertical="top" wrapText="1"/>
      <protection locked="0"/>
    </xf>
    <xf numFmtId="0" fontId="0" fillId="8" borderId="25" xfId="0" applyFill="1" applyBorder="1" applyAlignment="1" applyProtection="1">
      <alignment horizontal="left" vertical="top" wrapText="1"/>
      <protection locked="0"/>
    </xf>
    <xf numFmtId="0" fontId="0" fillId="8" borderId="51"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20" fillId="7" borderId="48" xfId="0" applyFont="1" applyFill="1" applyBorder="1" applyAlignment="1" applyProtection="1">
      <alignment horizontal="left" vertical="top"/>
      <protection locked="0"/>
    </xf>
    <xf numFmtId="0" fontId="0" fillId="8" borderId="30" xfId="0" applyFill="1" applyBorder="1" applyAlignment="1" applyProtection="1">
      <alignment horizontal="left" vertical="top" wrapText="1"/>
      <protection locked="0"/>
    </xf>
    <xf numFmtId="0" fontId="0" fillId="8" borderId="31" xfId="0" applyFill="1" applyBorder="1" applyAlignment="1" applyProtection="1">
      <alignment horizontal="left" vertical="top" wrapText="1"/>
      <protection locked="0"/>
    </xf>
    <xf numFmtId="0" fontId="0" fillId="2" borderId="21" xfId="0" applyFill="1" applyBorder="1" applyAlignment="1" applyProtection="1">
      <alignment horizontal="left" vertical="top"/>
      <protection locked="0"/>
    </xf>
    <xf numFmtId="0" fontId="5" fillId="2" borderId="0" xfId="1" applyFont="1" applyFill="1" applyAlignment="1" applyProtection="1">
      <alignment horizontal="left" vertical="top" wrapText="1"/>
      <protection locked="0"/>
    </xf>
    <xf numFmtId="14" fontId="0" fillId="2" borderId="0" xfId="0" applyNumberFormat="1" applyFill="1" applyAlignment="1" applyProtection="1">
      <alignment horizontal="left" vertical="top"/>
      <protection locked="0"/>
    </xf>
    <xf numFmtId="0" fontId="20" fillId="7" borderId="53" xfId="0" applyFont="1" applyFill="1" applyBorder="1" applyAlignment="1" applyProtection="1">
      <alignment horizontal="left" vertical="top"/>
      <protection locked="0"/>
    </xf>
    <xf numFmtId="0" fontId="0" fillId="8" borderId="42" xfId="0" applyFill="1" applyBorder="1" applyAlignment="1" applyProtection="1">
      <alignment horizontal="left" vertical="top" wrapText="1"/>
      <protection locked="0"/>
    </xf>
    <xf numFmtId="164" fontId="0" fillId="3" borderId="24" xfId="0" applyNumberFormat="1" applyFill="1" applyBorder="1" applyAlignment="1" applyProtection="1">
      <alignment vertical="top" wrapText="1"/>
      <protection locked="0"/>
    </xf>
    <xf numFmtId="166" fontId="7" fillId="2" borderId="36" xfId="0" applyNumberFormat="1" applyFont="1" applyFill="1" applyBorder="1" applyAlignment="1" applyProtection="1">
      <alignment horizontal="left" vertical="top" wrapText="1"/>
      <protection locked="0"/>
    </xf>
    <xf numFmtId="0" fontId="13" fillId="3" borderId="0" xfId="0" applyFont="1" applyFill="1" applyAlignment="1">
      <alignment horizontal="left" vertical="center"/>
    </xf>
    <xf numFmtId="0" fontId="0" fillId="2" borderId="0" xfId="0" applyFill="1" applyAlignment="1">
      <alignment vertical="top"/>
    </xf>
    <xf numFmtId="0" fontId="0" fillId="3" borderId="0" xfId="0" applyFill="1" applyAlignment="1">
      <alignment vertical="top"/>
    </xf>
    <xf numFmtId="0" fontId="0" fillId="3" borderId="0" xfId="0" applyFill="1" applyAlignment="1">
      <alignment horizontal="left" vertical="center"/>
    </xf>
    <xf numFmtId="0" fontId="42" fillId="0" borderId="58" xfId="0" applyFont="1" applyBorder="1" applyAlignment="1">
      <alignment horizontal="left" vertical="center"/>
    </xf>
    <xf numFmtId="0" fontId="0" fillId="3" borderId="0" xfId="0" applyFill="1" applyAlignment="1">
      <alignment horizontal="center" vertical="center"/>
    </xf>
    <xf numFmtId="0" fontId="0" fillId="3" borderId="0" xfId="0" applyFill="1" applyAlignment="1">
      <alignment horizontal="left" vertical="top"/>
    </xf>
    <xf numFmtId="0" fontId="0" fillId="2" borderId="0" xfId="0" applyFill="1" applyAlignment="1">
      <alignment horizontal="left" vertical="top" wrapText="1"/>
    </xf>
    <xf numFmtId="0" fontId="0" fillId="2" borderId="0" xfId="0" applyFill="1" applyAlignment="1">
      <alignment horizontal="left" vertical="center" wrapText="1"/>
    </xf>
    <xf numFmtId="0" fontId="0" fillId="0" borderId="0" xfId="0" applyAlignment="1">
      <alignment horizontal="left" vertical="top"/>
    </xf>
    <xf numFmtId="0" fontId="0" fillId="2" borderId="0" xfId="0" applyFill="1" applyAlignment="1">
      <alignment horizontal="left" vertical="top"/>
    </xf>
    <xf numFmtId="4" fontId="7" fillId="2" borderId="36" xfId="0" applyNumberFormat="1" applyFont="1" applyFill="1" applyBorder="1" applyAlignment="1" applyProtection="1">
      <alignment horizontal="left" vertical="top" wrapText="1"/>
      <protection locked="0"/>
    </xf>
    <xf numFmtId="0" fontId="0" fillId="8" borderId="31" xfId="0" applyFill="1" applyBorder="1" applyAlignment="1">
      <alignment horizontal="left" vertical="top" wrapText="1"/>
    </xf>
    <xf numFmtId="14" fontId="7" fillId="2" borderId="36" xfId="0" applyNumberFormat="1" applyFont="1" applyFill="1" applyBorder="1" applyAlignment="1" applyProtection="1">
      <alignment horizontal="left" vertical="top" wrapText="1"/>
      <protection locked="0"/>
    </xf>
    <xf numFmtId="0" fontId="0" fillId="8" borderId="25" xfId="0" applyFill="1" applyBorder="1" applyAlignment="1" applyProtection="1">
      <alignment horizontal="left" wrapText="1"/>
      <protection locked="0"/>
    </xf>
    <xf numFmtId="0" fontId="0" fillId="8" borderId="51" xfId="0" applyFill="1" applyBorder="1" applyAlignment="1" applyProtection="1">
      <alignment horizontal="left" wrapText="1"/>
      <protection locked="0"/>
    </xf>
    <xf numFmtId="0" fontId="0" fillId="8" borderId="37" xfId="0" applyFill="1" applyBorder="1" applyAlignment="1" applyProtection="1">
      <alignment wrapText="1"/>
      <protection locked="0"/>
    </xf>
    <xf numFmtId="14" fontId="0" fillId="8" borderId="31" xfId="0" applyNumberFormat="1" applyFill="1" applyBorder="1" applyAlignment="1">
      <alignment horizontal="left" vertical="top" wrapText="1"/>
    </xf>
    <xf numFmtId="14" fontId="0" fillId="3" borderId="24" xfId="0" applyNumberFormat="1" applyFill="1" applyBorder="1" applyAlignment="1">
      <alignment horizontal="left" wrapText="1"/>
    </xf>
    <xf numFmtId="0" fontId="0" fillId="8" borderId="24" xfId="0" applyFill="1" applyBorder="1" applyAlignment="1" applyProtection="1">
      <alignment horizontal="left" wrapText="1"/>
      <protection locked="0"/>
    </xf>
    <xf numFmtId="0" fontId="0" fillId="3" borderId="24" xfId="0" applyFill="1" applyBorder="1" applyAlignment="1">
      <alignment horizontal="left" wrapText="1"/>
    </xf>
    <xf numFmtId="14" fontId="7" fillId="8" borderId="35" xfId="0" applyNumberFormat="1" applyFont="1" applyFill="1" applyBorder="1" applyAlignment="1" applyProtection="1">
      <alignment horizontal="left" wrapText="1"/>
      <protection locked="0"/>
    </xf>
    <xf numFmtId="166" fontId="7" fillId="8" borderId="36" xfId="0" applyNumberFormat="1" applyFont="1" applyFill="1" applyBorder="1" applyAlignment="1" applyProtection="1">
      <alignment horizontal="left" wrapText="1"/>
      <protection locked="0"/>
    </xf>
    <xf numFmtId="166" fontId="7" fillId="3" borderId="59" xfId="0" applyNumberFormat="1" applyFont="1" applyFill="1" applyBorder="1" applyAlignment="1">
      <alignment horizontal="left" wrapText="1"/>
    </xf>
    <xf numFmtId="0" fontId="0" fillId="8" borderId="31" xfId="0" applyFill="1" applyBorder="1" applyAlignment="1" applyProtection="1">
      <alignment vertical="top" wrapText="1"/>
      <protection locked="0"/>
    </xf>
    <xf numFmtId="0" fontId="0" fillId="2" borderId="21" xfId="0" applyFill="1" applyBorder="1" applyAlignment="1" applyProtection="1">
      <alignment vertical="top"/>
      <protection locked="0"/>
    </xf>
    <xf numFmtId="14" fontId="0" fillId="3" borderId="24" xfId="0" applyNumberFormat="1" applyFill="1" applyBorder="1" applyAlignment="1">
      <alignment vertical="top" wrapText="1"/>
    </xf>
    <xf numFmtId="0" fontId="0" fillId="3" borderId="47" xfId="0" applyFill="1" applyBorder="1" applyAlignment="1">
      <alignment vertical="top" wrapText="1"/>
    </xf>
    <xf numFmtId="0" fontId="0" fillId="3" borderId="0" xfId="0" applyFill="1" applyAlignment="1" applyProtection="1">
      <alignment vertical="top" wrapText="1"/>
      <protection locked="0"/>
    </xf>
    <xf numFmtId="0" fontId="0" fillId="2" borderId="0" xfId="0" applyFill="1" applyAlignment="1" applyProtection="1">
      <alignment horizontal="left"/>
      <protection locked="0"/>
    </xf>
    <xf numFmtId="0" fontId="0" fillId="8" borderId="37" xfId="0" applyFill="1" applyBorder="1" applyAlignment="1" applyProtection="1">
      <alignment horizontal="left" vertical="top" wrapText="1"/>
      <protection locked="0"/>
    </xf>
    <xf numFmtId="0" fontId="4" fillId="5" borderId="20" xfId="0" applyFont="1" applyFill="1" applyBorder="1" applyAlignment="1" applyProtection="1">
      <alignment horizontal="left"/>
      <protection locked="0"/>
    </xf>
    <xf numFmtId="0" fontId="0" fillId="0" borderId="43" xfId="0" applyBorder="1" applyAlignment="1">
      <alignment horizontal="left"/>
    </xf>
    <xf numFmtId="0" fontId="20" fillId="7" borderId="48" xfId="0" applyFont="1" applyFill="1" applyBorder="1" applyAlignment="1" applyProtection="1">
      <alignment vertical="top"/>
      <protection locked="0"/>
    </xf>
    <xf numFmtId="0" fontId="0" fillId="8" borderId="30" xfId="0" applyFill="1" applyBorder="1" applyAlignment="1" applyProtection="1">
      <alignment vertical="top" wrapText="1"/>
      <protection locked="0"/>
    </xf>
    <xf numFmtId="0" fontId="4" fillId="5" borderId="2" xfId="0" applyFont="1" applyFill="1" applyBorder="1" applyAlignment="1" applyProtection="1">
      <alignment vertical="top"/>
      <protection locked="0"/>
    </xf>
    <xf numFmtId="0" fontId="0" fillId="0" borderId="43" xfId="0" applyBorder="1" applyAlignment="1">
      <alignment vertical="top"/>
    </xf>
    <xf numFmtId="0" fontId="4" fillId="5" borderId="2" xfId="0" applyFont="1" applyFill="1" applyBorder="1" applyAlignment="1" applyProtection="1">
      <alignment horizontal="left" vertical="top"/>
      <protection locked="0"/>
    </xf>
    <xf numFmtId="0" fontId="0" fillId="0" borderId="43" xfId="0" applyBorder="1" applyAlignment="1">
      <alignment horizontal="left" vertical="top"/>
    </xf>
    <xf numFmtId="164" fontId="0" fillId="10" borderId="24" xfId="0" applyNumberFormat="1" applyFill="1" applyBorder="1" applyAlignment="1" applyProtection="1">
      <alignment horizontal="left" vertical="top" wrapText="1"/>
      <protection locked="0"/>
    </xf>
    <xf numFmtId="0" fontId="0" fillId="2" borderId="47" xfId="0" applyFill="1" applyBorder="1" applyAlignment="1" applyProtection="1">
      <alignment vertical="top" wrapText="1"/>
      <protection locked="0"/>
    </xf>
    <xf numFmtId="0" fontId="4" fillId="5" borderId="20" xfId="0" applyFont="1" applyFill="1" applyBorder="1" applyAlignment="1" applyProtection="1">
      <alignment horizontal="left" vertical="top"/>
      <protection locked="0"/>
    </xf>
    <xf numFmtId="0" fontId="4" fillId="5" borderId="20" xfId="0" applyFont="1" applyFill="1" applyBorder="1" applyAlignment="1" applyProtection="1">
      <alignment vertical="top"/>
      <protection locked="0"/>
    </xf>
    <xf numFmtId="14" fontId="0" fillId="2" borderId="0" xfId="0" applyNumberFormat="1" applyFill="1" applyAlignment="1" applyProtection="1">
      <alignment vertical="top"/>
      <protection locked="0"/>
    </xf>
    <xf numFmtId="0" fontId="20" fillId="7" borderId="53" xfId="0" applyFont="1" applyFill="1" applyBorder="1" applyAlignment="1" applyProtection="1">
      <alignment vertical="top"/>
      <protection locked="0"/>
    </xf>
    <xf numFmtId="0" fontId="0" fillId="8" borderId="42" xfId="0" applyFill="1" applyBorder="1" applyAlignment="1" applyProtection="1">
      <alignment vertical="top" wrapText="1"/>
      <protection locked="0"/>
    </xf>
    <xf numFmtId="0" fontId="5" fillId="2" borderId="0" xfId="1" applyFont="1" applyFill="1" applyAlignment="1" applyProtection="1">
      <alignment horizontal="left" vertical="top"/>
    </xf>
    <xf numFmtId="0" fontId="16" fillId="2" borderId="0" xfId="2" applyFill="1" applyAlignment="1">
      <alignment horizontal="left" vertical="top" wrapText="1"/>
    </xf>
    <xf numFmtId="0" fontId="18" fillId="5" borderId="0" xfId="1" applyFont="1" applyFill="1" applyAlignment="1">
      <alignment horizontal="left" vertical="top" wrapText="1"/>
    </xf>
    <xf numFmtId="0" fontId="2" fillId="4" borderId="0" xfId="0" applyFont="1" applyFill="1" applyAlignment="1">
      <alignment horizontal="left" vertical="center" wrapText="1"/>
    </xf>
    <xf numFmtId="0" fontId="0" fillId="0" borderId="0" xfId="0" applyAlignment="1">
      <alignment horizontal="left" vertical="top" wrapText="1"/>
    </xf>
    <xf numFmtId="0" fontId="0" fillId="2" borderId="0" xfId="0" applyFill="1" applyAlignment="1">
      <alignment horizontal="left" vertical="top" wrapText="1"/>
    </xf>
    <xf numFmtId="0" fontId="2" fillId="4" borderId="0" xfId="0" applyFont="1" applyFill="1" applyAlignment="1">
      <alignment horizontal="left" vertical="top" wrapText="1"/>
    </xf>
    <xf numFmtId="0" fontId="26" fillId="5" borderId="15" xfId="0" applyFont="1" applyFill="1" applyBorder="1" applyAlignment="1">
      <alignment horizontal="center" vertical="center" textRotation="90" wrapText="1"/>
    </xf>
    <xf numFmtId="0" fontId="26" fillId="5" borderId="16" xfId="0" applyFont="1" applyFill="1" applyBorder="1" applyAlignment="1">
      <alignment horizontal="center" vertical="center" textRotation="90" wrapText="1"/>
    </xf>
    <xf numFmtId="0" fontId="26" fillId="5" borderId="17" xfId="0" applyFont="1" applyFill="1" applyBorder="1" applyAlignment="1">
      <alignment horizontal="center" vertical="center" textRotation="90" wrapText="1"/>
    </xf>
    <xf numFmtId="0" fontId="31" fillId="6" borderId="63" xfId="0" applyFont="1" applyFill="1" applyBorder="1" applyAlignment="1">
      <alignment horizontal="left" vertical="center" wrapText="1"/>
    </xf>
    <xf numFmtId="0" fontId="31" fillId="6" borderId="4"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4" fillId="5" borderId="6" xfId="0" applyFont="1" applyFill="1" applyBorder="1" applyAlignment="1">
      <alignment horizontal="left" vertical="center"/>
    </xf>
    <xf numFmtId="0" fontId="14" fillId="5" borderId="7" xfId="0" applyFont="1" applyFill="1" applyBorder="1" applyAlignment="1">
      <alignment horizontal="left" vertical="center"/>
    </xf>
    <xf numFmtId="0" fontId="43" fillId="6" borderId="9" xfId="0" applyFont="1" applyFill="1" applyBorder="1" applyAlignment="1">
      <alignment horizontal="left" vertical="center" wrapText="1"/>
    </xf>
    <xf numFmtId="0" fontId="31" fillId="6" borderId="10" xfId="0" applyFont="1" applyFill="1" applyBorder="1" applyAlignment="1">
      <alignment horizontal="left" vertical="center" wrapText="1"/>
    </xf>
    <xf numFmtId="0" fontId="11" fillId="2" borderId="11" xfId="0" applyFont="1" applyFill="1" applyBorder="1" applyAlignment="1">
      <alignment horizontal="left" vertical="top" wrapText="1"/>
    </xf>
    <xf numFmtId="0" fontId="26" fillId="5" borderId="0" xfId="0" applyFont="1" applyFill="1" applyAlignment="1">
      <alignment horizontal="center" vertical="center" textRotation="90" wrapText="1"/>
    </xf>
    <xf numFmtId="0" fontId="26" fillId="5" borderId="50" xfId="0" applyFont="1" applyFill="1" applyBorder="1" applyAlignment="1">
      <alignment horizontal="center" vertical="center" textRotation="90" wrapText="1"/>
    </xf>
    <xf numFmtId="0" fontId="37" fillId="6" borderId="18" xfId="0" applyFont="1" applyFill="1" applyBorder="1" applyAlignment="1">
      <alignment horizontal="left" vertical="top" wrapText="1"/>
    </xf>
    <xf numFmtId="0" fontId="27" fillId="6" borderId="19" xfId="0" applyFont="1" applyFill="1" applyBorder="1" applyAlignment="1">
      <alignment horizontal="left" vertical="top" wrapText="1"/>
    </xf>
    <xf numFmtId="0" fontId="26" fillId="5" borderId="0" xfId="0" applyFont="1" applyFill="1" applyAlignment="1">
      <alignment horizontal="center" vertical="center" textRotation="90"/>
    </xf>
    <xf numFmtId="0" fontId="26" fillId="5" borderId="50" xfId="0" applyFont="1" applyFill="1" applyBorder="1" applyAlignment="1">
      <alignment horizontal="center" vertical="center" textRotation="90"/>
    </xf>
    <xf numFmtId="0" fontId="31" fillId="6" borderId="18" xfId="0" applyFont="1" applyFill="1" applyBorder="1" applyAlignment="1">
      <alignment horizontal="left" vertical="center" wrapText="1"/>
    </xf>
    <xf numFmtId="0" fontId="27" fillId="6" borderId="19"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0" fillId="8" borderId="32" xfId="0" applyFill="1" applyBorder="1" applyAlignment="1" applyProtection="1">
      <alignment horizontal="left" vertical="top" wrapText="1"/>
      <protection locked="0"/>
    </xf>
    <xf numFmtId="0" fontId="0" fillId="8" borderId="62" xfId="0" applyFill="1" applyBorder="1" applyAlignment="1" applyProtection="1">
      <alignment horizontal="left" vertical="top" wrapText="1"/>
      <protection locked="0"/>
    </xf>
    <xf numFmtId="0" fontId="0" fillId="8" borderId="52" xfId="0" applyFill="1" applyBorder="1" applyAlignment="1" applyProtection="1">
      <alignment horizontal="left" vertical="top" wrapText="1"/>
      <protection locked="0"/>
    </xf>
    <xf numFmtId="0" fontId="0" fillId="8" borderId="33"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45" xfId="0" applyFill="1" applyBorder="1" applyAlignment="1" applyProtection="1">
      <alignment horizontal="left" vertical="top" wrapText="1"/>
      <protection locked="0"/>
    </xf>
    <xf numFmtId="0" fontId="20" fillId="7" borderId="34" xfId="0" applyFont="1" applyFill="1" applyBorder="1" applyAlignment="1">
      <alignment horizontal="left" wrapText="1"/>
    </xf>
    <xf numFmtId="0" fontId="20" fillId="7" borderId="10" xfId="0" applyFont="1" applyFill="1" applyBorder="1" applyAlignment="1">
      <alignment horizontal="left" wrapText="1"/>
    </xf>
    <xf numFmtId="0" fontId="0" fillId="2" borderId="44" xfId="0" applyFill="1" applyBorder="1" applyAlignment="1" applyProtection="1">
      <alignment horizontal="left" vertical="top" wrapText="1"/>
      <protection locked="0"/>
    </xf>
    <xf numFmtId="0" fontId="2" fillId="4" borderId="26" xfId="0" applyFont="1" applyFill="1" applyBorder="1" applyAlignment="1" applyProtection="1">
      <alignment horizontal="left" vertical="top"/>
      <protection locked="0"/>
    </xf>
    <xf numFmtId="0" fontId="2" fillId="4" borderId="46" xfId="0" applyFont="1" applyFill="1" applyBorder="1" applyAlignment="1" applyProtection="1">
      <alignment horizontal="left" vertical="top"/>
      <protection locked="0"/>
    </xf>
    <xf numFmtId="0" fontId="2" fillId="4" borderId="49" xfId="0" applyFont="1" applyFill="1" applyBorder="1" applyAlignment="1" applyProtection="1">
      <alignment horizontal="left" vertical="top"/>
      <protection locked="0"/>
    </xf>
    <xf numFmtId="0" fontId="0" fillId="2" borderId="44" xfId="0" applyFill="1" applyBorder="1" applyAlignment="1" applyProtection="1">
      <alignment vertical="top" wrapText="1"/>
      <protection locked="0"/>
    </xf>
    <xf numFmtId="0" fontId="0" fillId="2" borderId="45" xfId="0" applyFill="1" applyBorder="1" applyAlignment="1" applyProtection="1">
      <alignment vertical="top" wrapText="1"/>
      <protection locked="0"/>
    </xf>
    <xf numFmtId="0" fontId="0" fillId="8" borderId="32" xfId="0" applyFill="1" applyBorder="1" applyAlignment="1" applyProtection="1">
      <alignment vertical="top" wrapText="1"/>
      <protection locked="0"/>
    </xf>
    <xf numFmtId="0" fontId="0" fillId="8" borderId="52" xfId="0" applyFill="1" applyBorder="1" applyAlignment="1" applyProtection="1">
      <alignment vertical="top" wrapText="1"/>
      <protection locked="0"/>
    </xf>
    <xf numFmtId="0" fontId="0" fillId="8" borderId="33" xfId="0" applyFill="1" applyBorder="1" applyAlignment="1" applyProtection="1">
      <alignment vertical="top" wrapText="1"/>
      <protection locked="0"/>
    </xf>
    <xf numFmtId="0" fontId="20" fillId="7" borderId="10" xfId="0" applyFont="1" applyFill="1" applyBorder="1" applyAlignment="1">
      <alignment horizontal="left" vertical="top" wrapText="1"/>
    </xf>
  </cellXfs>
  <cellStyles count="3">
    <cellStyle name="Hyperlink" xfId="2" builtinId="8"/>
    <cellStyle name="Normal" xfId="0" builtinId="0"/>
    <cellStyle name="Title" xfId="1" builtinId="15"/>
  </cellStyles>
  <dxfs count="34">
    <dxf>
      <font>
        <color rgb="FF9C0006"/>
      </font>
      <fill>
        <patternFill>
          <bgColor rgb="FFFFC7CE"/>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font>
        <b/>
        <i val="0"/>
        <strike val="0"/>
        <condense val="0"/>
        <extend val="0"/>
        <outline val="0"/>
        <shadow val="0"/>
        <u val="none"/>
        <vertAlign val="baseline"/>
        <sz val="11"/>
        <color indexed="8"/>
        <name val="Calibri"/>
        <family val="2"/>
        <scheme val="none"/>
      </font>
      <fill>
        <patternFill patternType="solid">
          <fgColor theme="4"/>
          <bgColor theme="4"/>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Calibri"/>
        <family val="2"/>
        <scheme val="none"/>
      </font>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scheme val="none"/>
      </font>
    </dxf>
    <dxf>
      <border outline="0">
        <bottom style="thin">
          <color indexed="64"/>
        </bottom>
      </border>
    </dxf>
    <dxf>
      <font>
        <b/>
        <i val="0"/>
        <strike val="0"/>
        <condense val="0"/>
        <extend val="0"/>
        <outline val="0"/>
        <shadow val="0"/>
        <u val="none"/>
        <vertAlign val="baseline"/>
        <sz val="11"/>
        <color indexed="8"/>
        <name val="Calibri"/>
        <family val="2"/>
        <scheme val="none"/>
      </font>
      <fill>
        <patternFill patternType="solid">
          <fgColor theme="4"/>
          <bgColor theme="4"/>
        </patternFill>
      </fill>
    </dxf>
  </dxfs>
  <tableStyles count="0" defaultTableStyle="TableStyleMedium2" defaultPivotStyle="PivotStyleLight16"/>
  <colors>
    <mruColors>
      <color rgb="FF414141"/>
      <color rgb="FFC8EBD7"/>
      <color rgb="FF29B480"/>
      <color rgb="FF288264"/>
      <color rgb="FF1E3C50"/>
      <color rgb="FFEBF5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414432</xdr:colOff>
      <xdr:row>4</xdr:row>
      <xdr:rowOff>90875</xdr:rowOff>
    </xdr:to>
    <xdr:pic>
      <xdr:nvPicPr>
        <xdr:cNvPr id="3" name="Picture 2" descr="Australian Government - Digital Transformation Agency">
          <a:extLst>
            <a:ext uri="{FF2B5EF4-FFF2-40B4-BE49-F238E27FC236}">
              <a16:creationId xmlns:a16="http://schemas.microsoft.com/office/drawing/2014/main" id="{F7B045A0-BB5B-4C9A-B0F9-0C72117FEA9C}"/>
            </a:ext>
          </a:extLst>
        </xdr:cNvPr>
        <xdr:cNvPicPr>
          <a:picLocks noChangeAspect="1"/>
        </xdr:cNvPicPr>
      </xdr:nvPicPr>
      <xdr:blipFill>
        <a:blip xmlns:r="http://schemas.openxmlformats.org/officeDocument/2006/relationships" r:embed="rId1"/>
        <a:stretch>
          <a:fillRect/>
        </a:stretch>
      </xdr:blipFill>
      <xdr:spPr>
        <a:xfrm>
          <a:off x="209550" y="381000"/>
          <a:ext cx="2240057" cy="468700"/>
        </a:xfrm>
        <a:prstGeom prst="rect">
          <a:avLst/>
        </a:prstGeom>
      </xdr:spPr>
    </xdr:pic>
    <xdr:clientData/>
  </xdr:twoCellAnchor>
  <xdr:twoCellAnchor editAs="oneCell">
    <xdr:from>
      <xdr:col>8</xdr:col>
      <xdr:colOff>402167</xdr:colOff>
      <xdr:row>2</xdr:row>
      <xdr:rowOff>19050</xdr:rowOff>
    </xdr:from>
    <xdr:to>
      <xdr:col>9</xdr:col>
      <xdr:colOff>607907</xdr:colOff>
      <xdr:row>4</xdr:row>
      <xdr:rowOff>22295</xdr:rowOff>
    </xdr:to>
    <xdr:pic>
      <xdr:nvPicPr>
        <xdr:cNvPr id="4" name="Picture 3" descr="Digital Transformation Agency logo">
          <a:extLst>
            <a:ext uri="{FF2B5EF4-FFF2-40B4-BE49-F238E27FC236}">
              <a16:creationId xmlns:a16="http://schemas.microsoft.com/office/drawing/2014/main" id="{A4A27A01-EEA8-4ACF-A275-C6E6E1B592C5}"/>
            </a:ext>
          </a:extLst>
        </xdr:cNvPr>
        <xdr:cNvPicPr>
          <a:picLocks noChangeAspect="1"/>
        </xdr:cNvPicPr>
      </xdr:nvPicPr>
      <xdr:blipFill>
        <a:blip xmlns:r="http://schemas.openxmlformats.org/officeDocument/2006/relationships" r:embed="rId2"/>
        <a:stretch>
          <a:fillRect/>
        </a:stretch>
      </xdr:blipFill>
      <xdr:spPr>
        <a:xfrm>
          <a:off x="6350000" y="400050"/>
          <a:ext cx="810049" cy="3842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2353310</xdr:colOff>
      <xdr:row>3</xdr:row>
      <xdr:rowOff>272862</xdr:rowOff>
    </xdr:to>
    <xdr:pic>
      <xdr:nvPicPr>
        <xdr:cNvPr id="2" name="Picture 1" descr="Australian Government - Digital Transformation Agency">
          <a:extLst>
            <a:ext uri="{FF2B5EF4-FFF2-40B4-BE49-F238E27FC236}">
              <a16:creationId xmlns:a16="http://schemas.microsoft.com/office/drawing/2014/main" id="{8A2073DB-072E-4EDA-8FC9-5E155F493ABB}"/>
            </a:ext>
          </a:extLst>
        </xdr:cNvPr>
        <xdr:cNvPicPr>
          <a:picLocks noChangeAspect="1"/>
        </xdr:cNvPicPr>
      </xdr:nvPicPr>
      <xdr:blipFill>
        <a:blip xmlns:r="http://schemas.openxmlformats.org/officeDocument/2006/relationships" r:embed="rId1"/>
        <a:stretch>
          <a:fillRect/>
        </a:stretch>
      </xdr:blipFill>
      <xdr:spPr>
        <a:xfrm>
          <a:off x="247650" y="266700"/>
          <a:ext cx="2239010" cy="472887"/>
        </a:xfrm>
        <a:prstGeom prst="rect">
          <a:avLst/>
        </a:prstGeom>
      </xdr:spPr>
    </xdr:pic>
    <xdr:clientData/>
  </xdr:twoCellAnchor>
  <xdr:twoCellAnchor editAs="oneCell">
    <xdr:from>
      <xdr:col>6</xdr:col>
      <xdr:colOff>840582</xdr:colOff>
      <xdr:row>2</xdr:row>
      <xdr:rowOff>166687</xdr:rowOff>
    </xdr:from>
    <xdr:to>
      <xdr:col>6</xdr:col>
      <xdr:colOff>1646397</xdr:colOff>
      <xdr:row>3</xdr:row>
      <xdr:rowOff>364619</xdr:rowOff>
    </xdr:to>
    <xdr:pic>
      <xdr:nvPicPr>
        <xdr:cNvPr id="3" name="Picture 2" descr="Digital Transformation Agency logo">
          <a:extLst>
            <a:ext uri="{FF2B5EF4-FFF2-40B4-BE49-F238E27FC236}">
              <a16:creationId xmlns:a16="http://schemas.microsoft.com/office/drawing/2014/main" id="{122244A8-D847-405C-A60D-112FFCEB08FE}"/>
            </a:ext>
          </a:extLst>
        </xdr:cNvPr>
        <xdr:cNvPicPr>
          <a:picLocks noChangeAspect="1"/>
        </xdr:cNvPicPr>
      </xdr:nvPicPr>
      <xdr:blipFill>
        <a:blip xmlns:r="http://schemas.openxmlformats.org/officeDocument/2006/relationships" r:embed="rId2"/>
        <a:stretch>
          <a:fillRect/>
        </a:stretch>
      </xdr:blipFill>
      <xdr:spPr>
        <a:xfrm>
          <a:off x="13546932" y="442912"/>
          <a:ext cx="805815" cy="3884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2353310</xdr:colOff>
      <xdr:row>3</xdr:row>
      <xdr:rowOff>272862</xdr:rowOff>
    </xdr:to>
    <xdr:pic>
      <xdr:nvPicPr>
        <xdr:cNvPr id="2" name="Picture 1" descr="Australian Government - Digital Transformation Agency">
          <a:extLst>
            <a:ext uri="{FF2B5EF4-FFF2-40B4-BE49-F238E27FC236}">
              <a16:creationId xmlns:a16="http://schemas.microsoft.com/office/drawing/2014/main" id="{DF221EB2-B72A-4FA6-A4B2-977EA8EAC2FE}"/>
            </a:ext>
          </a:extLst>
        </xdr:cNvPr>
        <xdr:cNvPicPr>
          <a:picLocks noChangeAspect="1"/>
        </xdr:cNvPicPr>
      </xdr:nvPicPr>
      <xdr:blipFill>
        <a:blip xmlns:r="http://schemas.openxmlformats.org/officeDocument/2006/relationships" r:embed="rId1"/>
        <a:stretch>
          <a:fillRect/>
        </a:stretch>
      </xdr:blipFill>
      <xdr:spPr>
        <a:xfrm>
          <a:off x="247650" y="266700"/>
          <a:ext cx="2239010" cy="472887"/>
        </a:xfrm>
        <a:prstGeom prst="rect">
          <a:avLst/>
        </a:prstGeom>
      </xdr:spPr>
    </xdr:pic>
    <xdr:clientData/>
  </xdr:twoCellAnchor>
  <xdr:twoCellAnchor editAs="oneCell">
    <xdr:from>
      <xdr:col>6</xdr:col>
      <xdr:colOff>840582</xdr:colOff>
      <xdr:row>2</xdr:row>
      <xdr:rowOff>166687</xdr:rowOff>
    </xdr:from>
    <xdr:to>
      <xdr:col>6</xdr:col>
      <xdr:colOff>1646397</xdr:colOff>
      <xdr:row>3</xdr:row>
      <xdr:rowOff>364619</xdr:rowOff>
    </xdr:to>
    <xdr:pic>
      <xdr:nvPicPr>
        <xdr:cNvPr id="3" name="Picture 2" descr="Digital Transformation Agency logo">
          <a:extLst>
            <a:ext uri="{FF2B5EF4-FFF2-40B4-BE49-F238E27FC236}">
              <a16:creationId xmlns:a16="http://schemas.microsoft.com/office/drawing/2014/main" id="{E9A9582E-3C0D-4DAB-AAA8-EE8B9B9B856C}"/>
            </a:ext>
          </a:extLst>
        </xdr:cNvPr>
        <xdr:cNvPicPr>
          <a:picLocks noChangeAspect="1"/>
        </xdr:cNvPicPr>
      </xdr:nvPicPr>
      <xdr:blipFill>
        <a:blip xmlns:r="http://schemas.openxmlformats.org/officeDocument/2006/relationships" r:embed="rId2"/>
        <a:stretch>
          <a:fillRect/>
        </a:stretch>
      </xdr:blipFill>
      <xdr:spPr>
        <a:xfrm>
          <a:off x="13546932" y="442912"/>
          <a:ext cx="805815" cy="38843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2353310</xdr:colOff>
      <xdr:row>3</xdr:row>
      <xdr:rowOff>272862</xdr:rowOff>
    </xdr:to>
    <xdr:pic>
      <xdr:nvPicPr>
        <xdr:cNvPr id="2" name="Picture 1" descr="Australian Government - Digital Transformation Agency">
          <a:extLst>
            <a:ext uri="{FF2B5EF4-FFF2-40B4-BE49-F238E27FC236}">
              <a16:creationId xmlns:a16="http://schemas.microsoft.com/office/drawing/2014/main" id="{FA465284-96CC-42D7-A0D4-0868CC403E72}"/>
            </a:ext>
          </a:extLst>
        </xdr:cNvPr>
        <xdr:cNvPicPr>
          <a:picLocks noChangeAspect="1"/>
        </xdr:cNvPicPr>
      </xdr:nvPicPr>
      <xdr:blipFill>
        <a:blip xmlns:r="http://schemas.openxmlformats.org/officeDocument/2006/relationships" r:embed="rId1"/>
        <a:stretch>
          <a:fillRect/>
        </a:stretch>
      </xdr:blipFill>
      <xdr:spPr>
        <a:xfrm>
          <a:off x="247650" y="266700"/>
          <a:ext cx="2239010" cy="472887"/>
        </a:xfrm>
        <a:prstGeom prst="rect">
          <a:avLst/>
        </a:prstGeom>
      </xdr:spPr>
    </xdr:pic>
    <xdr:clientData/>
  </xdr:twoCellAnchor>
  <xdr:twoCellAnchor editAs="oneCell">
    <xdr:from>
      <xdr:col>6</xdr:col>
      <xdr:colOff>840582</xdr:colOff>
      <xdr:row>2</xdr:row>
      <xdr:rowOff>166687</xdr:rowOff>
    </xdr:from>
    <xdr:to>
      <xdr:col>6</xdr:col>
      <xdr:colOff>1646397</xdr:colOff>
      <xdr:row>3</xdr:row>
      <xdr:rowOff>364619</xdr:rowOff>
    </xdr:to>
    <xdr:pic>
      <xdr:nvPicPr>
        <xdr:cNvPr id="3" name="Picture 2" descr="Digital Transformation Agency logo">
          <a:extLst>
            <a:ext uri="{FF2B5EF4-FFF2-40B4-BE49-F238E27FC236}">
              <a16:creationId xmlns:a16="http://schemas.microsoft.com/office/drawing/2014/main" id="{153684DD-FCB2-42BC-B762-60B8701B44DA}"/>
            </a:ext>
          </a:extLst>
        </xdr:cNvPr>
        <xdr:cNvPicPr>
          <a:picLocks noChangeAspect="1"/>
        </xdr:cNvPicPr>
      </xdr:nvPicPr>
      <xdr:blipFill>
        <a:blip xmlns:r="http://schemas.openxmlformats.org/officeDocument/2006/relationships" r:embed="rId2"/>
        <a:stretch>
          <a:fillRect/>
        </a:stretch>
      </xdr:blipFill>
      <xdr:spPr>
        <a:xfrm>
          <a:off x="13546932" y="442912"/>
          <a:ext cx="805815" cy="388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1</xdr:row>
      <xdr:rowOff>38100</xdr:rowOff>
    </xdr:from>
    <xdr:to>
      <xdr:col>2</xdr:col>
      <xdr:colOff>2300382</xdr:colOff>
      <xdr:row>3</xdr:row>
      <xdr:rowOff>128975</xdr:rowOff>
    </xdr:to>
    <xdr:pic>
      <xdr:nvPicPr>
        <xdr:cNvPr id="2" name="Picture 1" descr="Australian Government - Digital Transformation Agency">
          <a:extLst>
            <a:ext uri="{FF2B5EF4-FFF2-40B4-BE49-F238E27FC236}">
              <a16:creationId xmlns:a16="http://schemas.microsoft.com/office/drawing/2014/main" id="{98326639-6EAE-4AB8-A2A9-0F74C7B9D1AB}"/>
            </a:ext>
          </a:extLst>
        </xdr:cNvPr>
        <xdr:cNvPicPr>
          <a:picLocks noChangeAspect="1"/>
        </xdr:cNvPicPr>
      </xdr:nvPicPr>
      <xdr:blipFill>
        <a:blip xmlns:r="http://schemas.openxmlformats.org/officeDocument/2006/relationships" r:embed="rId1"/>
        <a:stretch>
          <a:fillRect/>
        </a:stretch>
      </xdr:blipFill>
      <xdr:spPr>
        <a:xfrm>
          <a:off x="847725" y="228600"/>
          <a:ext cx="2243232" cy="468700"/>
        </a:xfrm>
        <a:prstGeom prst="rect">
          <a:avLst/>
        </a:prstGeom>
      </xdr:spPr>
    </xdr:pic>
    <xdr:clientData/>
  </xdr:twoCellAnchor>
  <xdr:twoCellAnchor editAs="oneCell">
    <xdr:from>
      <xdr:col>3</xdr:col>
      <xdr:colOff>5943600</xdr:colOff>
      <xdr:row>1</xdr:row>
      <xdr:rowOff>47625</xdr:rowOff>
    </xdr:from>
    <xdr:to>
      <xdr:col>3</xdr:col>
      <xdr:colOff>6755765</xdr:colOff>
      <xdr:row>3</xdr:row>
      <xdr:rowOff>54045</xdr:rowOff>
    </xdr:to>
    <xdr:pic>
      <xdr:nvPicPr>
        <xdr:cNvPr id="3" name="Picture 2" descr="Digital Transformation Agency logo">
          <a:extLst>
            <a:ext uri="{FF2B5EF4-FFF2-40B4-BE49-F238E27FC236}">
              <a16:creationId xmlns:a16="http://schemas.microsoft.com/office/drawing/2014/main" id="{76E2DA71-A321-442B-9065-F8E5FDB71023}"/>
            </a:ext>
          </a:extLst>
        </xdr:cNvPr>
        <xdr:cNvPicPr>
          <a:picLocks noChangeAspect="1"/>
        </xdr:cNvPicPr>
      </xdr:nvPicPr>
      <xdr:blipFill>
        <a:blip xmlns:r="http://schemas.openxmlformats.org/officeDocument/2006/relationships" r:embed="rId2"/>
        <a:stretch>
          <a:fillRect/>
        </a:stretch>
      </xdr:blipFill>
      <xdr:spPr>
        <a:xfrm>
          <a:off x="8343900" y="238125"/>
          <a:ext cx="805815" cy="384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2356485</xdr:colOff>
      <xdr:row>3</xdr:row>
      <xdr:rowOff>276037</xdr:rowOff>
    </xdr:to>
    <xdr:pic>
      <xdr:nvPicPr>
        <xdr:cNvPr id="2" name="Picture 1" descr="Australian Government - Digital Transformation Agency">
          <a:extLst>
            <a:ext uri="{FF2B5EF4-FFF2-40B4-BE49-F238E27FC236}">
              <a16:creationId xmlns:a16="http://schemas.microsoft.com/office/drawing/2014/main" id="{4CB04428-DCF1-4943-8DC0-B7E0D119F193}"/>
            </a:ext>
          </a:extLst>
        </xdr:cNvPr>
        <xdr:cNvPicPr>
          <a:picLocks noChangeAspect="1"/>
        </xdr:cNvPicPr>
      </xdr:nvPicPr>
      <xdr:blipFill>
        <a:blip xmlns:r="http://schemas.openxmlformats.org/officeDocument/2006/relationships" r:embed="rId1"/>
        <a:stretch>
          <a:fillRect/>
        </a:stretch>
      </xdr:blipFill>
      <xdr:spPr>
        <a:xfrm>
          <a:off x="247650" y="266700"/>
          <a:ext cx="2243772" cy="472887"/>
        </a:xfrm>
        <a:prstGeom prst="rect">
          <a:avLst/>
        </a:prstGeom>
      </xdr:spPr>
    </xdr:pic>
    <xdr:clientData/>
  </xdr:twoCellAnchor>
  <xdr:twoCellAnchor editAs="oneCell">
    <xdr:from>
      <xdr:col>6</xdr:col>
      <xdr:colOff>840582</xdr:colOff>
      <xdr:row>2</xdr:row>
      <xdr:rowOff>166687</xdr:rowOff>
    </xdr:from>
    <xdr:to>
      <xdr:col>6</xdr:col>
      <xdr:colOff>1649572</xdr:colOff>
      <xdr:row>3</xdr:row>
      <xdr:rowOff>364619</xdr:rowOff>
    </xdr:to>
    <xdr:pic>
      <xdr:nvPicPr>
        <xdr:cNvPr id="3" name="Picture 2" descr="Digital Transformation Agency logo">
          <a:extLst>
            <a:ext uri="{FF2B5EF4-FFF2-40B4-BE49-F238E27FC236}">
              <a16:creationId xmlns:a16="http://schemas.microsoft.com/office/drawing/2014/main" id="{10FA3AF1-2252-47F0-B36B-633087B78BC9}"/>
            </a:ext>
          </a:extLst>
        </xdr:cNvPr>
        <xdr:cNvPicPr>
          <a:picLocks noChangeAspect="1"/>
        </xdr:cNvPicPr>
      </xdr:nvPicPr>
      <xdr:blipFill>
        <a:blip xmlns:r="http://schemas.openxmlformats.org/officeDocument/2006/relationships" r:embed="rId2"/>
        <a:stretch>
          <a:fillRect/>
        </a:stretch>
      </xdr:blipFill>
      <xdr:spPr>
        <a:xfrm>
          <a:off x="9127332" y="440531"/>
          <a:ext cx="805815" cy="3884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2353310</xdr:colOff>
      <xdr:row>3</xdr:row>
      <xdr:rowOff>272862</xdr:rowOff>
    </xdr:to>
    <xdr:pic>
      <xdr:nvPicPr>
        <xdr:cNvPr id="2" name="Picture 1" descr="Australian Government - Digital Transformation Agency">
          <a:extLst>
            <a:ext uri="{FF2B5EF4-FFF2-40B4-BE49-F238E27FC236}">
              <a16:creationId xmlns:a16="http://schemas.microsoft.com/office/drawing/2014/main" id="{5DBFB882-96A1-45BB-9D79-9BE299C87299}"/>
            </a:ext>
          </a:extLst>
        </xdr:cNvPr>
        <xdr:cNvPicPr>
          <a:picLocks noChangeAspect="1"/>
        </xdr:cNvPicPr>
      </xdr:nvPicPr>
      <xdr:blipFill>
        <a:blip xmlns:r="http://schemas.openxmlformats.org/officeDocument/2006/relationships" r:embed="rId1"/>
        <a:stretch>
          <a:fillRect/>
        </a:stretch>
      </xdr:blipFill>
      <xdr:spPr>
        <a:xfrm>
          <a:off x="247650" y="266700"/>
          <a:ext cx="2239010" cy="472887"/>
        </a:xfrm>
        <a:prstGeom prst="rect">
          <a:avLst/>
        </a:prstGeom>
      </xdr:spPr>
    </xdr:pic>
    <xdr:clientData/>
  </xdr:twoCellAnchor>
  <xdr:twoCellAnchor editAs="oneCell">
    <xdr:from>
      <xdr:col>6</xdr:col>
      <xdr:colOff>840582</xdr:colOff>
      <xdr:row>2</xdr:row>
      <xdr:rowOff>166687</xdr:rowOff>
    </xdr:from>
    <xdr:to>
      <xdr:col>6</xdr:col>
      <xdr:colOff>1646397</xdr:colOff>
      <xdr:row>3</xdr:row>
      <xdr:rowOff>364619</xdr:rowOff>
    </xdr:to>
    <xdr:pic>
      <xdr:nvPicPr>
        <xdr:cNvPr id="3" name="Picture 2" descr="Digital Transformation Agency logo">
          <a:extLst>
            <a:ext uri="{FF2B5EF4-FFF2-40B4-BE49-F238E27FC236}">
              <a16:creationId xmlns:a16="http://schemas.microsoft.com/office/drawing/2014/main" id="{9BC8E3A1-AC37-458F-8DD5-A04C2D002352}"/>
            </a:ext>
          </a:extLst>
        </xdr:cNvPr>
        <xdr:cNvPicPr>
          <a:picLocks noChangeAspect="1"/>
        </xdr:cNvPicPr>
      </xdr:nvPicPr>
      <xdr:blipFill>
        <a:blip xmlns:r="http://schemas.openxmlformats.org/officeDocument/2006/relationships" r:embed="rId2"/>
        <a:stretch>
          <a:fillRect/>
        </a:stretch>
      </xdr:blipFill>
      <xdr:spPr>
        <a:xfrm>
          <a:off x="10498932" y="442912"/>
          <a:ext cx="805815" cy="3884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2353310</xdr:colOff>
      <xdr:row>3</xdr:row>
      <xdr:rowOff>272862</xdr:rowOff>
    </xdr:to>
    <xdr:pic>
      <xdr:nvPicPr>
        <xdr:cNvPr id="2" name="Picture 1" descr="Australian Government - Digital Transformation Agency">
          <a:extLst>
            <a:ext uri="{FF2B5EF4-FFF2-40B4-BE49-F238E27FC236}">
              <a16:creationId xmlns:a16="http://schemas.microsoft.com/office/drawing/2014/main" id="{4D7B0A59-78EE-4C2F-BEAE-DD5C8AA03DFE}"/>
            </a:ext>
          </a:extLst>
        </xdr:cNvPr>
        <xdr:cNvPicPr>
          <a:picLocks noChangeAspect="1"/>
        </xdr:cNvPicPr>
      </xdr:nvPicPr>
      <xdr:blipFill>
        <a:blip xmlns:r="http://schemas.openxmlformats.org/officeDocument/2006/relationships" r:embed="rId1"/>
        <a:stretch>
          <a:fillRect/>
        </a:stretch>
      </xdr:blipFill>
      <xdr:spPr>
        <a:xfrm>
          <a:off x="247650" y="266700"/>
          <a:ext cx="2239010" cy="472887"/>
        </a:xfrm>
        <a:prstGeom prst="rect">
          <a:avLst/>
        </a:prstGeom>
      </xdr:spPr>
    </xdr:pic>
    <xdr:clientData/>
  </xdr:twoCellAnchor>
  <xdr:twoCellAnchor editAs="oneCell">
    <xdr:from>
      <xdr:col>6</xdr:col>
      <xdr:colOff>840582</xdr:colOff>
      <xdr:row>2</xdr:row>
      <xdr:rowOff>166687</xdr:rowOff>
    </xdr:from>
    <xdr:to>
      <xdr:col>6</xdr:col>
      <xdr:colOff>1646397</xdr:colOff>
      <xdr:row>3</xdr:row>
      <xdr:rowOff>364619</xdr:rowOff>
    </xdr:to>
    <xdr:pic>
      <xdr:nvPicPr>
        <xdr:cNvPr id="3" name="Picture 2" descr="Digital Transformation Agency logo">
          <a:extLst>
            <a:ext uri="{FF2B5EF4-FFF2-40B4-BE49-F238E27FC236}">
              <a16:creationId xmlns:a16="http://schemas.microsoft.com/office/drawing/2014/main" id="{257F2853-D854-4DAD-BD25-612F6335E040}"/>
            </a:ext>
          </a:extLst>
        </xdr:cNvPr>
        <xdr:cNvPicPr>
          <a:picLocks noChangeAspect="1"/>
        </xdr:cNvPicPr>
      </xdr:nvPicPr>
      <xdr:blipFill>
        <a:blip xmlns:r="http://schemas.openxmlformats.org/officeDocument/2006/relationships" r:embed="rId2"/>
        <a:stretch>
          <a:fillRect/>
        </a:stretch>
      </xdr:blipFill>
      <xdr:spPr>
        <a:xfrm>
          <a:off x="13546932" y="442912"/>
          <a:ext cx="805815" cy="3884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2353310</xdr:colOff>
      <xdr:row>3</xdr:row>
      <xdr:rowOff>272862</xdr:rowOff>
    </xdr:to>
    <xdr:pic>
      <xdr:nvPicPr>
        <xdr:cNvPr id="2" name="Picture 1" descr="Australian Government - Digital Transformation Agency">
          <a:extLst>
            <a:ext uri="{FF2B5EF4-FFF2-40B4-BE49-F238E27FC236}">
              <a16:creationId xmlns:a16="http://schemas.microsoft.com/office/drawing/2014/main" id="{27F19709-8B66-4FBF-96B4-CEEEB17B0529}"/>
            </a:ext>
          </a:extLst>
        </xdr:cNvPr>
        <xdr:cNvPicPr>
          <a:picLocks noChangeAspect="1"/>
        </xdr:cNvPicPr>
      </xdr:nvPicPr>
      <xdr:blipFill>
        <a:blip xmlns:r="http://schemas.openxmlformats.org/officeDocument/2006/relationships" r:embed="rId1"/>
        <a:stretch>
          <a:fillRect/>
        </a:stretch>
      </xdr:blipFill>
      <xdr:spPr>
        <a:xfrm>
          <a:off x="247650" y="266700"/>
          <a:ext cx="2239010" cy="472887"/>
        </a:xfrm>
        <a:prstGeom prst="rect">
          <a:avLst/>
        </a:prstGeom>
      </xdr:spPr>
    </xdr:pic>
    <xdr:clientData/>
  </xdr:twoCellAnchor>
  <xdr:twoCellAnchor editAs="oneCell">
    <xdr:from>
      <xdr:col>6</xdr:col>
      <xdr:colOff>840582</xdr:colOff>
      <xdr:row>2</xdr:row>
      <xdr:rowOff>166687</xdr:rowOff>
    </xdr:from>
    <xdr:to>
      <xdr:col>6</xdr:col>
      <xdr:colOff>1646397</xdr:colOff>
      <xdr:row>3</xdr:row>
      <xdr:rowOff>364619</xdr:rowOff>
    </xdr:to>
    <xdr:pic>
      <xdr:nvPicPr>
        <xdr:cNvPr id="3" name="Picture 2" descr="Digital Transformation Agency logo">
          <a:extLst>
            <a:ext uri="{FF2B5EF4-FFF2-40B4-BE49-F238E27FC236}">
              <a16:creationId xmlns:a16="http://schemas.microsoft.com/office/drawing/2014/main" id="{B72F6204-B7A5-48BD-80BB-2EE37E36FF3C}"/>
            </a:ext>
          </a:extLst>
        </xdr:cNvPr>
        <xdr:cNvPicPr>
          <a:picLocks noChangeAspect="1"/>
        </xdr:cNvPicPr>
      </xdr:nvPicPr>
      <xdr:blipFill>
        <a:blip xmlns:r="http://schemas.openxmlformats.org/officeDocument/2006/relationships" r:embed="rId2"/>
        <a:stretch>
          <a:fillRect/>
        </a:stretch>
      </xdr:blipFill>
      <xdr:spPr>
        <a:xfrm>
          <a:off x="13546932" y="442912"/>
          <a:ext cx="805815" cy="388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2353310</xdr:colOff>
      <xdr:row>3</xdr:row>
      <xdr:rowOff>272862</xdr:rowOff>
    </xdr:to>
    <xdr:pic>
      <xdr:nvPicPr>
        <xdr:cNvPr id="2" name="Picture 1" descr="Australian Government - Digital Transformation Agency">
          <a:extLst>
            <a:ext uri="{FF2B5EF4-FFF2-40B4-BE49-F238E27FC236}">
              <a16:creationId xmlns:a16="http://schemas.microsoft.com/office/drawing/2014/main" id="{4324102D-4289-4173-820A-5438FB4A7BF9}"/>
            </a:ext>
          </a:extLst>
        </xdr:cNvPr>
        <xdr:cNvPicPr>
          <a:picLocks noChangeAspect="1"/>
        </xdr:cNvPicPr>
      </xdr:nvPicPr>
      <xdr:blipFill>
        <a:blip xmlns:r="http://schemas.openxmlformats.org/officeDocument/2006/relationships" r:embed="rId1"/>
        <a:stretch>
          <a:fillRect/>
        </a:stretch>
      </xdr:blipFill>
      <xdr:spPr>
        <a:xfrm>
          <a:off x="247650" y="266700"/>
          <a:ext cx="2239010" cy="472887"/>
        </a:xfrm>
        <a:prstGeom prst="rect">
          <a:avLst/>
        </a:prstGeom>
      </xdr:spPr>
    </xdr:pic>
    <xdr:clientData/>
  </xdr:twoCellAnchor>
  <xdr:twoCellAnchor editAs="oneCell">
    <xdr:from>
      <xdr:col>6</xdr:col>
      <xdr:colOff>840582</xdr:colOff>
      <xdr:row>2</xdr:row>
      <xdr:rowOff>166687</xdr:rowOff>
    </xdr:from>
    <xdr:to>
      <xdr:col>6</xdr:col>
      <xdr:colOff>1646397</xdr:colOff>
      <xdr:row>3</xdr:row>
      <xdr:rowOff>364619</xdr:rowOff>
    </xdr:to>
    <xdr:pic>
      <xdr:nvPicPr>
        <xdr:cNvPr id="3" name="Picture 2" descr="Digital Transformation Agency logo">
          <a:extLst>
            <a:ext uri="{FF2B5EF4-FFF2-40B4-BE49-F238E27FC236}">
              <a16:creationId xmlns:a16="http://schemas.microsoft.com/office/drawing/2014/main" id="{23B0F2AF-7869-43DD-A9F2-05A2A273F714}"/>
            </a:ext>
          </a:extLst>
        </xdr:cNvPr>
        <xdr:cNvPicPr>
          <a:picLocks noChangeAspect="1"/>
        </xdr:cNvPicPr>
      </xdr:nvPicPr>
      <xdr:blipFill>
        <a:blip xmlns:r="http://schemas.openxmlformats.org/officeDocument/2006/relationships" r:embed="rId2"/>
        <a:stretch>
          <a:fillRect/>
        </a:stretch>
      </xdr:blipFill>
      <xdr:spPr>
        <a:xfrm>
          <a:off x="13546932" y="442912"/>
          <a:ext cx="805815" cy="3884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2353310</xdr:colOff>
      <xdr:row>3</xdr:row>
      <xdr:rowOff>272862</xdr:rowOff>
    </xdr:to>
    <xdr:pic>
      <xdr:nvPicPr>
        <xdr:cNvPr id="2" name="Picture 1" descr="Australian Government - Digital Transformation Agency">
          <a:extLst>
            <a:ext uri="{FF2B5EF4-FFF2-40B4-BE49-F238E27FC236}">
              <a16:creationId xmlns:a16="http://schemas.microsoft.com/office/drawing/2014/main" id="{FD74CB44-985A-4097-B0F9-5273F0CFBBA5}"/>
            </a:ext>
          </a:extLst>
        </xdr:cNvPr>
        <xdr:cNvPicPr>
          <a:picLocks noChangeAspect="1"/>
        </xdr:cNvPicPr>
      </xdr:nvPicPr>
      <xdr:blipFill>
        <a:blip xmlns:r="http://schemas.openxmlformats.org/officeDocument/2006/relationships" r:embed="rId1"/>
        <a:stretch>
          <a:fillRect/>
        </a:stretch>
      </xdr:blipFill>
      <xdr:spPr>
        <a:xfrm>
          <a:off x="247650" y="266700"/>
          <a:ext cx="2239010" cy="472887"/>
        </a:xfrm>
        <a:prstGeom prst="rect">
          <a:avLst/>
        </a:prstGeom>
      </xdr:spPr>
    </xdr:pic>
    <xdr:clientData/>
  </xdr:twoCellAnchor>
  <xdr:twoCellAnchor editAs="oneCell">
    <xdr:from>
      <xdr:col>6</xdr:col>
      <xdr:colOff>840582</xdr:colOff>
      <xdr:row>2</xdr:row>
      <xdr:rowOff>166687</xdr:rowOff>
    </xdr:from>
    <xdr:to>
      <xdr:col>6</xdr:col>
      <xdr:colOff>1646397</xdr:colOff>
      <xdr:row>3</xdr:row>
      <xdr:rowOff>364619</xdr:rowOff>
    </xdr:to>
    <xdr:pic>
      <xdr:nvPicPr>
        <xdr:cNvPr id="3" name="Picture 2" descr="Digital Transformation Agency logo">
          <a:extLst>
            <a:ext uri="{FF2B5EF4-FFF2-40B4-BE49-F238E27FC236}">
              <a16:creationId xmlns:a16="http://schemas.microsoft.com/office/drawing/2014/main" id="{4DAD043D-31DE-4789-8829-E5D826E5AD2F}"/>
            </a:ext>
          </a:extLst>
        </xdr:cNvPr>
        <xdr:cNvPicPr>
          <a:picLocks noChangeAspect="1"/>
        </xdr:cNvPicPr>
      </xdr:nvPicPr>
      <xdr:blipFill>
        <a:blip xmlns:r="http://schemas.openxmlformats.org/officeDocument/2006/relationships" r:embed="rId2"/>
        <a:stretch>
          <a:fillRect/>
        </a:stretch>
      </xdr:blipFill>
      <xdr:spPr>
        <a:xfrm>
          <a:off x="13546932" y="442912"/>
          <a:ext cx="805815" cy="38843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114300</xdr:colOff>
      <xdr:row>1</xdr:row>
      <xdr:rowOff>180975</xdr:rowOff>
    </xdr:from>
    <xdr:to>
      <xdr:col>1</xdr:col>
      <xdr:colOff>2353310</xdr:colOff>
      <xdr:row>3</xdr:row>
      <xdr:rowOff>272862</xdr:rowOff>
    </xdr:to>
    <xdr:pic>
      <xdr:nvPicPr>
        <xdr:cNvPr id="2" name="Picture 1" descr="Australian Government - Digital Transformation Agency">
          <a:extLst>
            <a:ext uri="{FF2B5EF4-FFF2-40B4-BE49-F238E27FC236}">
              <a16:creationId xmlns:a16="http://schemas.microsoft.com/office/drawing/2014/main" id="{01B491F5-ED35-44A5-A813-2762F5367FC4}"/>
            </a:ext>
          </a:extLst>
        </xdr:cNvPr>
        <xdr:cNvPicPr>
          <a:picLocks noChangeAspect="1"/>
        </xdr:cNvPicPr>
      </xdr:nvPicPr>
      <xdr:blipFill>
        <a:blip xmlns:r="http://schemas.openxmlformats.org/officeDocument/2006/relationships" r:embed="rId1"/>
        <a:stretch>
          <a:fillRect/>
        </a:stretch>
      </xdr:blipFill>
      <xdr:spPr>
        <a:xfrm>
          <a:off x="247650" y="266700"/>
          <a:ext cx="2239010" cy="472887"/>
        </a:xfrm>
        <a:prstGeom prst="rect">
          <a:avLst/>
        </a:prstGeom>
      </xdr:spPr>
    </xdr:pic>
    <xdr:clientData/>
  </xdr:twoCellAnchor>
  <xdr:twoCellAnchor editAs="oneCell">
    <xdr:from>
      <xdr:col>6</xdr:col>
      <xdr:colOff>840582</xdr:colOff>
      <xdr:row>2</xdr:row>
      <xdr:rowOff>166687</xdr:rowOff>
    </xdr:from>
    <xdr:to>
      <xdr:col>6</xdr:col>
      <xdr:colOff>1646397</xdr:colOff>
      <xdr:row>3</xdr:row>
      <xdr:rowOff>364619</xdr:rowOff>
    </xdr:to>
    <xdr:pic>
      <xdr:nvPicPr>
        <xdr:cNvPr id="3" name="Picture 2" descr="Digital Transformation Agency logo">
          <a:extLst>
            <a:ext uri="{FF2B5EF4-FFF2-40B4-BE49-F238E27FC236}">
              <a16:creationId xmlns:a16="http://schemas.microsoft.com/office/drawing/2014/main" id="{306B5021-A824-4E28-B209-AFD76640CA58}"/>
            </a:ext>
          </a:extLst>
        </xdr:cNvPr>
        <xdr:cNvPicPr>
          <a:picLocks noChangeAspect="1"/>
        </xdr:cNvPicPr>
      </xdr:nvPicPr>
      <xdr:blipFill>
        <a:blip xmlns:r="http://schemas.openxmlformats.org/officeDocument/2006/relationships" r:embed="rId2"/>
        <a:stretch>
          <a:fillRect/>
        </a:stretch>
      </xdr:blipFill>
      <xdr:spPr>
        <a:xfrm>
          <a:off x="13546932" y="442912"/>
          <a:ext cx="805815" cy="3884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0A92D4A-6A4B-4921-B91C-8C9AE973957F}" name="Confidence_Level" displayName="Confidence_Level" ref="J2:J8" totalsRowShown="0" headerRowDxfId="33" dataDxfId="31" headerRowBorderDxfId="32" tableBorderDxfId="30">
  <autoFilter ref="J2:J8" xr:uid="{20A92D4A-6A4B-4921-B91C-8C9AE973957F}"/>
  <tableColumns count="1">
    <tableColumn id="1" xr3:uid="{DF1008ED-9ED1-4B58-A927-9116EF931325}" name="Benefit Realisation Status" dataDxfId="29"/>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6352702-CAF3-4659-B0C8-54CCBEDF9E87}" name="Home" displayName="Home" ref="J1:J4" totalsRowShown="0" headerRowDxfId="12">
  <autoFilter ref="J1:J4" xr:uid="{A931CD3F-C67C-42A9-A58A-B9E910C049C5}"/>
  <sortState xmlns:xlrd2="http://schemas.microsoft.com/office/spreadsheetml/2017/richdata2" ref="J2:J4">
    <sortCondition ref="J1:J4"/>
  </sortState>
  <tableColumns count="1">
    <tableColumn id="1" xr3:uid="{21657000-B8E0-4F70-8AAA-A80AA27A608E}" name="Home Affairs"/>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D6070EF-D320-495D-B0E0-C3BE0C3DFF94}" name="ISER" displayName="ISER" ref="K1:K8" totalsRowShown="0" headerRowDxfId="11">
  <autoFilter ref="K1:K8" xr:uid="{24153750-B91D-4769-A3DC-59F26F503348}"/>
  <sortState xmlns:xlrd2="http://schemas.microsoft.com/office/spreadsheetml/2017/richdata2" ref="K2:K7">
    <sortCondition ref="K1:K7"/>
  </sortState>
  <tableColumns count="1">
    <tableColumn id="1" xr3:uid="{80229FFE-3CBD-4E00-ABFF-C1C78A9FEC69}" name="Industry, Science and Resources"/>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5A3347-3A01-4BA7-A644-D1CA3FF228F3}" name="Table10" displayName="Table10" ref="L1:L32" totalsRowShown="0" headerRowDxfId="10">
  <autoFilter ref="L1:L32" xr:uid="{8354DF61-D5BF-436E-9408-DE697B4F86A5}"/>
  <sortState xmlns:xlrd2="http://schemas.microsoft.com/office/spreadsheetml/2017/richdata2" ref="L2:L32">
    <sortCondition ref="L1:L32"/>
  </sortState>
  <tableColumns count="1">
    <tableColumn id="1" xr3:uid="{489BB10F-C93E-43E1-B285-B984BA2EDF8D}" name="Infrastructure, Transport, Regional Development, Communications and the Arts"/>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5F6D1E-BFB3-4FE2-8F52-3D26307BE3C9}" name="Table11" displayName="Table11" ref="M1:M5" totalsRowShown="0" headerRowDxfId="9">
  <autoFilter ref="M1:M5" xr:uid="{8A38A15E-7666-465E-9C53-F27EDB2E2575}"/>
  <sortState xmlns:xlrd2="http://schemas.microsoft.com/office/spreadsheetml/2017/richdata2" ref="M2:M5">
    <sortCondition ref="M1:M5"/>
  </sortState>
  <tableColumns count="1">
    <tableColumn id="1" xr3:uid="{DD2D8B52-A809-47C4-8634-38EC04BCABF8}" name="Parliamentary Departments"/>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87A1974-EB74-4F07-93B5-FD4FF0D9DF1D}" name="Table12" displayName="Table12" ref="N1:N21" totalsRowShown="0" headerRowDxfId="8">
  <autoFilter ref="N1:N21" xr:uid="{BEBFEB7E-6DF4-4E96-B2C4-DB25D589E0F4}"/>
  <sortState xmlns:xlrd2="http://schemas.microsoft.com/office/spreadsheetml/2017/richdata2" ref="N2:N21">
    <sortCondition ref="N1:N21"/>
  </sortState>
  <tableColumns count="1">
    <tableColumn id="1" xr3:uid="{CCA8BE03-6F73-4C72-AE5D-A2DA0790A3BA}" name="Prime Minister and Cabinet"/>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2600DBB-2C44-4EA1-B551-E55487DB2B05}" name="Table13" displayName="Table13" ref="O1:O8" totalsRowShown="0" headerRowDxfId="7">
  <autoFilter ref="O1:O8" xr:uid="{3A723493-F195-4AE3-8B19-191366BF28E7}"/>
  <sortState xmlns:xlrd2="http://schemas.microsoft.com/office/spreadsheetml/2017/richdata2" ref="O2:O8">
    <sortCondition ref="O1:O8"/>
  </sortState>
  <tableColumns count="1">
    <tableColumn id="1" xr3:uid="{5B31130C-AF58-4F48-B983-1A6D9B051148}" name="Social Services"/>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F7BC22-A98F-47BB-9D2E-94347099123C}" name="Table14" displayName="Table14" ref="P1:P18" totalsRowShown="0" headerRowDxfId="6">
  <autoFilter ref="P1:P18" xr:uid="{DC42D910-68F1-4FAA-AF0C-9538D8D97C77}"/>
  <sortState xmlns:xlrd2="http://schemas.microsoft.com/office/spreadsheetml/2017/richdata2" ref="P2:P18">
    <sortCondition ref="P1:P18"/>
  </sortState>
  <tableColumns count="1">
    <tableColumn id="1" xr3:uid="{5A96F0A6-E168-422E-9AD1-FBF07E5751A2}" name="Treasury"/>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B0C9D63-735A-4152-83DB-178049345FFC}" name="Veterans" displayName="Veterans" ref="Q1:Q3" totalsRowShown="0" headerRowDxfId="5">
  <autoFilter ref="Q1:Q3" xr:uid="{27459522-E731-412F-971B-9E9AABEC1CE5}"/>
  <sortState xmlns:xlrd2="http://schemas.microsoft.com/office/spreadsheetml/2017/richdata2" ref="Q2:Q3">
    <sortCondition ref="Q1:Q3"/>
  </sortState>
  <tableColumns count="1">
    <tableColumn id="1" xr3:uid="{D2FDB79E-5E72-4FC8-9B8E-2DE8FAA79DA9}" name="Veterans’ Affairs (part of the Defence Portfolio)"/>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A9F64E6-803D-4C9E-94C4-C587CE9D13F3}" name="Defence" displayName="Defence" ref="D1:D14" totalsRowShown="0" headerRowDxfId="4">
  <autoFilter ref="D1:D14" xr:uid="{1D9437B8-92EA-4DBB-9327-FA151E9B9195}"/>
  <sortState xmlns:xlrd2="http://schemas.microsoft.com/office/spreadsheetml/2017/richdata2" ref="D2:D14">
    <sortCondition ref="D1:D14"/>
  </sortState>
  <tableColumns count="1">
    <tableColumn id="1" xr3:uid="{3B9B0EBC-065B-4B04-9241-598E6F28ADBE}" name="Defence"/>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112E0D4-D938-47D7-B929-5E44D2DBC1BB}" name="Veterans27" displayName="Veterans27" ref="C1:C13" totalsRowShown="0" headerRowDxfId="3">
  <autoFilter ref="C1:C13" xr:uid="{3B177D93-E514-405C-A916-A0877B5AB047}"/>
  <sortState xmlns:xlrd2="http://schemas.microsoft.com/office/spreadsheetml/2017/richdata2" ref="C2:C13">
    <sortCondition ref="C1:C13"/>
  </sortState>
  <tableColumns count="1">
    <tableColumn id="1" xr3:uid="{4CF9C004-F146-41FB-86F4-44C4C2014DE0}" name="Climate Change, Energy, the Environment and Water"/>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E4CFB20-B7B8-4C68-8026-BAC53C116748}" name="MeasureConfidence" displayName="MeasureConfidence" ref="H20:J26" totalsRowShown="0" headerRowDxfId="28" headerRowBorderDxfId="27">
  <autoFilter ref="H20:J26" xr:uid="{8E4CFB20-B7B8-4C68-8026-BAC53C116748}"/>
  <tableColumns count="3">
    <tableColumn id="1" xr3:uid="{8CF46D17-0D8E-4603-B5E6-9833489337E6}" name="Measure Confidence Level" dataDxfId="26"/>
    <tableColumn id="2" xr3:uid="{02294132-8E6C-4918-8B18-9CCF057A8BC0}" name="Confidence Score" dataDxfId="25"/>
    <tableColumn id="3" xr3:uid="{C432DF01-2156-449F-883B-39196FE5370A}" name="Cross Ref" dataDxfId="24"/>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E5395AC-BF22-46A1-B555-BEB9664FAED5}" name="Veterans38" displayName="Veterans38" ref="E1:E7" totalsRowShown="0" headerRowDxfId="2">
  <autoFilter ref="E1:E7" xr:uid="{795FF51D-B5EF-48D5-B590-35D2028671A8}"/>
  <sortState xmlns:xlrd2="http://schemas.microsoft.com/office/spreadsheetml/2017/richdata2" ref="E2:E7">
    <sortCondition ref="E1:E7"/>
  </sortState>
  <tableColumns count="1">
    <tableColumn id="1" xr3:uid="{FC3E6C85-E3FF-4886-AC32-0DA719735964}" name="Education"/>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EC56284-716F-4323-83F0-A623B039F713}" name="EduEmp69" displayName="EduEmp69" ref="F1:F10" totalsRowShown="0" headerRowDxfId="1">
  <autoFilter ref="F1:F10" xr:uid="{3B0957D5-EFAF-4DD0-8209-0E200C5ECD74}"/>
  <sortState xmlns:xlrd2="http://schemas.microsoft.com/office/spreadsheetml/2017/richdata2" ref="F2:F10">
    <sortCondition ref="F1:F10"/>
  </sortState>
  <tableColumns count="1">
    <tableColumn id="2" xr3:uid="{7CE0FDA2-928F-4F77-9328-D31DA3B4796F}" name="Employment and Workplace Relation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E40B48E-C23A-4C33-9A04-8D6997DD9C33}" name="BenefitNumbering" displayName="BenefitNumbering" ref="B20:C30" totalsRowShown="0" dataDxfId="23">
  <autoFilter ref="B20:C30" xr:uid="{6E40B48E-C23A-4C33-9A04-8D6997DD9C33}"/>
  <tableColumns count="2">
    <tableColumn id="1" xr3:uid="{1DD28B32-ED74-4D67-A2BA-3456AD51E42D}" name="Sheet name" dataDxfId="22"/>
    <tableColumn id="2" xr3:uid="{259F0CCE-F856-4A91-B30C-15AD37D7CB9B}" name="Benefit Numbering system" dataDxfId="2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4D4F1E5-DFCB-4E15-9F90-DFDE1299C60E}" name="BenefitNumberingVar" displayName="BenefitNumberingVar" ref="E20:F30" totalsRowShown="0" dataDxfId="20">
  <autoFilter ref="E20:F30" xr:uid="{24D4F1E5-DFCB-4E15-9F90-DFDE1299C60E}"/>
  <tableColumns count="2">
    <tableColumn id="1" xr3:uid="{B9E9E75C-E06B-4D82-9BBF-FF4D99D6F1A8}" name="Sheet name" dataDxfId="19"/>
    <tableColumn id="2" xr3:uid="{057E6F55-E293-41CB-A542-3C853FE6960F}" name="Var Benefit Numbering "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26649A-4E76-4A41-A0EE-5FEB4B05C17B}" name="AWE" displayName="AWE" ref="A1:A10" totalsRowShown="0" headerRowDxfId="17">
  <autoFilter ref="A1:A10" xr:uid="{7FC074AB-6612-47BD-85EF-98B0B8E4515E}"/>
  <sortState xmlns:xlrd2="http://schemas.microsoft.com/office/spreadsheetml/2017/richdata2" ref="A2:A10">
    <sortCondition ref="A1:A10"/>
  </sortState>
  <tableColumns count="1">
    <tableColumn id="1" xr3:uid="{68CA4C54-4C5F-4E1A-A4EE-6DFC7CD6E3A0}" name="Agriculture, Fisheries and Forestry"/>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960631E-87A6-4B80-B9AF-A86E10AF74F0}" name="AG" displayName="AG" ref="B1:B18" totalsRowShown="0" headerRowDxfId="16">
  <autoFilter ref="B1:B18" xr:uid="{D61E3E0B-EE59-4291-95DC-1CFF87A71DDB}"/>
  <sortState xmlns:xlrd2="http://schemas.microsoft.com/office/spreadsheetml/2017/richdata2" ref="B2:B18">
    <sortCondition ref="B1:B18"/>
  </sortState>
  <tableColumns count="1">
    <tableColumn id="1" xr3:uid="{886B588C-B343-4542-BBC6-6A4337EE7BE8}" name="Attorney-General’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1FE0FA-FD39-482E-B2AA-D05986D93CE2}" name="Finance" displayName="Finance" ref="G1:G10" totalsRowShown="0" headerRowDxfId="15">
  <autoFilter ref="G1:G10" xr:uid="{B1D7337D-FECC-4305-BF64-BAD94B9C050D}"/>
  <sortState xmlns:xlrd2="http://schemas.microsoft.com/office/spreadsheetml/2017/richdata2" ref="G2:G9">
    <sortCondition ref="G1:G9"/>
  </sortState>
  <tableColumns count="1">
    <tableColumn id="1" xr3:uid="{9AAA4881-FD8A-4610-834A-47F0BDD5A259}" name="Finance"/>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126A32-E774-48E0-A5AD-5B66F76FDB4F}" name="DFAT" displayName="DFAT" ref="H1:H7" totalsRowShown="0" headerRowDxfId="14">
  <autoFilter ref="H1:H7" xr:uid="{8752D502-5FEE-4DF8-9697-76D201D7EB04}"/>
  <sortState xmlns:xlrd2="http://schemas.microsoft.com/office/spreadsheetml/2017/richdata2" ref="H2:H7">
    <sortCondition ref="H1:H7"/>
  </sortState>
  <tableColumns count="1">
    <tableColumn id="1" xr3:uid="{76B2C62A-CF0B-43AE-B61C-8DB45E5F793D}" name="Foreign Affairs and Trade"/>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FCC28C5-8FE8-4DD0-8C38-0B06BC8442F0}" name="Table7" displayName="Table7" ref="I1:I20" totalsRowShown="0" headerRowDxfId="13">
  <autoFilter ref="I1:I20" xr:uid="{22E6A2B7-A7B2-49D6-A4F8-D08EA4B63A17}"/>
  <sortState xmlns:xlrd2="http://schemas.microsoft.com/office/spreadsheetml/2017/richdata2" ref="I2:I20">
    <sortCondition ref="I1:I20"/>
  </sortState>
  <tableColumns count="1">
    <tableColumn id="1" xr3:uid="{C846DEE9-AE9A-4681-AA7F-E482C1B69EE8}" name="Health and Aged Care"/>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vestment@dta.gov.au" TargetMode="External"/><Relationship Id="rId7" Type="http://schemas.openxmlformats.org/officeDocument/2006/relationships/drawing" Target="../drawings/drawing1.xml"/><Relationship Id="rId2" Type="http://schemas.openxmlformats.org/officeDocument/2006/relationships/hyperlink" Target="https://architecture.digital.gov.au/benefits-management-guides-and-tools" TargetMode="External"/><Relationship Id="rId1" Type="http://schemas.openxmlformats.org/officeDocument/2006/relationships/hyperlink" Target="https://www.dataanddigital.gov.au/" TargetMode="External"/><Relationship Id="rId6" Type="http://schemas.openxmlformats.org/officeDocument/2006/relationships/printerSettings" Target="../printerSettings/printerSettings1.bin"/><Relationship Id="rId5" Type="http://schemas.openxmlformats.org/officeDocument/2006/relationships/hyperlink" Target="https://architecture.digital.gov.au/benefits-management-policy" TargetMode="External"/><Relationship Id="rId4" Type="http://schemas.openxmlformats.org/officeDocument/2006/relationships/hyperlink" Target="mailto:benefits.management@dta.gov.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 Type="http://schemas.openxmlformats.org/officeDocument/2006/relationships/table" Target="../tables/table5.xml"/><Relationship Id="rId16" Type="http://schemas.openxmlformats.org/officeDocument/2006/relationships/table" Target="../tables/table19.xml"/><Relationship Id="rId1" Type="http://schemas.openxmlformats.org/officeDocument/2006/relationships/printerSettings" Target="../printerSettings/printerSettings13.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taanddigital.gov.au/strateg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6D2DB-65A6-4E43-9770-FD5726581CD1}">
  <sheetPr codeName="Sheet2">
    <tabColor rgb="FFC00000"/>
    <pageSetUpPr fitToPage="1"/>
  </sheetPr>
  <dimension ref="A1:K44"/>
  <sheetViews>
    <sheetView tabSelected="1" zoomScale="110" zoomScaleNormal="110" workbookViewId="0">
      <selection activeCell="N14" sqref="N14"/>
    </sheetView>
  </sheetViews>
  <sheetFormatPr defaultColWidth="9.1796875" defaultRowHeight="14.5" x14ac:dyDescent="0.35"/>
  <cols>
    <col min="1" max="1" width="3.1796875" style="3" customWidth="1"/>
    <col min="2" max="5" width="9.1796875" style="3"/>
    <col min="6" max="6" width="30.81640625" style="3" customWidth="1"/>
    <col min="7" max="9" width="9.1796875" style="3"/>
    <col min="10" max="10" width="48.26953125" style="3" customWidth="1"/>
    <col min="11" max="11" width="3.1796875" style="3" customWidth="1"/>
    <col min="12" max="16384" width="9.1796875" style="3"/>
  </cols>
  <sheetData>
    <row r="1" spans="1:11" x14ac:dyDescent="0.35">
      <c r="A1" s="165"/>
      <c r="B1" s="165"/>
      <c r="C1" s="165"/>
      <c r="D1" s="165"/>
      <c r="E1" s="165"/>
      <c r="F1" s="165"/>
      <c r="G1" s="165"/>
      <c r="H1" s="165"/>
      <c r="I1" s="165"/>
      <c r="J1" s="165"/>
      <c r="K1" s="165"/>
    </row>
    <row r="2" spans="1:11" x14ac:dyDescent="0.35">
      <c r="A2" s="165"/>
      <c r="B2" s="165"/>
      <c r="C2" s="165"/>
      <c r="D2" s="165"/>
      <c r="E2" s="165"/>
      <c r="F2" s="165"/>
      <c r="G2" s="165"/>
      <c r="H2" s="165"/>
      <c r="I2" s="165"/>
      <c r="J2" s="165"/>
      <c r="K2" s="165"/>
    </row>
    <row r="3" spans="1:11" x14ac:dyDescent="0.35">
      <c r="A3" s="165"/>
      <c r="B3" s="165"/>
      <c r="C3" s="165"/>
      <c r="D3" s="165"/>
      <c r="E3" s="165"/>
      <c r="F3" s="165"/>
      <c r="G3" s="165"/>
      <c r="H3" s="165"/>
      <c r="I3" s="165"/>
      <c r="J3" s="165"/>
      <c r="K3" s="165"/>
    </row>
    <row r="4" spans="1:11" x14ac:dyDescent="0.35">
      <c r="A4" s="165"/>
      <c r="B4" s="165"/>
      <c r="C4" s="165"/>
      <c r="D4" s="165"/>
      <c r="E4" s="165"/>
      <c r="F4" s="165"/>
      <c r="G4" s="165"/>
      <c r="H4" s="165"/>
      <c r="I4" s="165"/>
      <c r="J4" s="165"/>
      <c r="K4" s="165"/>
    </row>
    <row r="5" spans="1:11" ht="21.75" customHeight="1" x14ac:dyDescent="0.35">
      <c r="A5" s="165"/>
      <c r="B5" s="165"/>
      <c r="C5" s="165"/>
      <c r="D5" s="165"/>
      <c r="E5" s="165"/>
      <c r="F5" s="165"/>
      <c r="G5" s="165"/>
      <c r="H5" s="165"/>
      <c r="I5" s="165"/>
      <c r="J5" s="165"/>
      <c r="K5" s="165"/>
    </row>
    <row r="6" spans="1:11" ht="36" customHeight="1" x14ac:dyDescent="0.35">
      <c r="A6" s="165"/>
      <c r="B6" s="206" t="s">
        <v>0</v>
      </c>
      <c r="C6" s="206"/>
      <c r="D6" s="206"/>
      <c r="E6" s="206"/>
      <c r="F6" s="206"/>
      <c r="G6" s="206"/>
      <c r="H6" s="206"/>
      <c r="I6" s="206"/>
      <c r="J6" s="206"/>
      <c r="K6" s="165"/>
    </row>
    <row r="7" spans="1:11" x14ac:dyDescent="0.35">
      <c r="A7" s="165"/>
      <c r="B7" s="206"/>
      <c r="C7" s="206"/>
      <c r="D7" s="206"/>
      <c r="E7" s="206"/>
      <c r="F7" s="206"/>
      <c r="G7" s="206"/>
      <c r="H7" s="206"/>
      <c r="I7" s="206"/>
      <c r="J7" s="206"/>
      <c r="K7" s="165"/>
    </row>
    <row r="8" spans="1:11" ht="13.5" customHeight="1" x14ac:dyDescent="0.35">
      <c r="A8" s="165"/>
      <c r="B8" s="165"/>
      <c r="C8" s="165"/>
      <c r="D8" s="165"/>
      <c r="E8" s="165"/>
      <c r="F8" s="165"/>
      <c r="G8" s="165"/>
      <c r="H8" s="165"/>
      <c r="I8" s="165"/>
      <c r="J8" s="165"/>
      <c r="K8" s="165"/>
    </row>
    <row r="9" spans="1:11" s="30" customFormat="1" ht="21" customHeight="1" x14ac:dyDescent="0.35">
      <c r="A9" s="166"/>
      <c r="B9" s="207" t="s">
        <v>1</v>
      </c>
      <c r="C9" s="207"/>
      <c r="D9" s="207"/>
      <c r="E9" s="207"/>
      <c r="F9" s="207"/>
      <c r="G9" s="207"/>
      <c r="H9" s="207"/>
      <c r="I9" s="207"/>
      <c r="J9" s="207"/>
      <c r="K9" s="166"/>
    </row>
    <row r="10" spans="1:11" ht="42" customHeight="1" x14ac:dyDescent="0.35">
      <c r="A10" s="165"/>
      <c r="B10" s="208" t="s">
        <v>2</v>
      </c>
      <c r="C10" s="208"/>
      <c r="D10" s="208"/>
      <c r="E10" s="208"/>
      <c r="F10" s="208"/>
      <c r="G10" s="208"/>
      <c r="H10" s="208"/>
      <c r="I10" s="208"/>
      <c r="J10" s="208"/>
      <c r="K10" s="165"/>
    </row>
    <row r="11" spans="1:11" s="30" customFormat="1" ht="18.75" customHeight="1" x14ac:dyDescent="0.35">
      <c r="A11" s="166"/>
      <c r="B11" s="207" t="s">
        <v>3</v>
      </c>
      <c r="C11" s="207"/>
      <c r="D11" s="207"/>
      <c r="E11" s="207"/>
      <c r="F11" s="207"/>
      <c r="G11" s="207"/>
      <c r="H11" s="207"/>
      <c r="I11" s="207"/>
      <c r="J11" s="207"/>
      <c r="K11" s="166"/>
    </row>
    <row r="12" spans="1:11" ht="38.25" customHeight="1" x14ac:dyDescent="0.35">
      <c r="A12" s="165"/>
      <c r="B12" s="209" t="s">
        <v>468</v>
      </c>
      <c r="C12" s="209"/>
      <c r="D12" s="209"/>
      <c r="E12" s="209"/>
      <c r="F12" s="209"/>
      <c r="G12" s="209"/>
      <c r="H12" s="209"/>
      <c r="I12" s="209"/>
      <c r="J12" s="209"/>
      <c r="K12" s="165"/>
    </row>
    <row r="13" spans="1:11" s="30" customFormat="1" ht="21" customHeight="1" x14ac:dyDescent="0.35">
      <c r="A13" s="166"/>
      <c r="B13" s="207" t="s">
        <v>4</v>
      </c>
      <c r="C13" s="207"/>
      <c r="D13" s="207"/>
      <c r="E13" s="207"/>
      <c r="F13" s="207"/>
      <c r="G13" s="207"/>
      <c r="H13" s="207"/>
      <c r="I13" s="207"/>
      <c r="J13" s="207"/>
      <c r="K13" s="166"/>
    </row>
    <row r="14" spans="1:11" ht="18.75" customHeight="1" x14ac:dyDescent="0.35">
      <c r="A14" s="165"/>
      <c r="B14" s="209" t="s">
        <v>469</v>
      </c>
      <c r="C14" s="209"/>
      <c r="D14" s="209"/>
      <c r="E14" s="209"/>
      <c r="F14" s="209"/>
      <c r="G14" s="209"/>
      <c r="H14" s="209"/>
      <c r="I14" s="209"/>
      <c r="J14" s="209"/>
      <c r="K14" s="165"/>
    </row>
    <row r="15" spans="1:11" ht="32.25" customHeight="1" x14ac:dyDescent="0.35">
      <c r="A15" s="165"/>
      <c r="B15" s="209"/>
      <c r="C15" s="209"/>
      <c r="D15" s="209"/>
      <c r="E15" s="209"/>
      <c r="F15" s="209"/>
      <c r="G15" s="209"/>
      <c r="H15" s="209"/>
      <c r="I15" s="209"/>
      <c r="J15" s="209"/>
      <c r="K15" s="165"/>
    </row>
    <row r="16" spans="1:11" ht="16.5" customHeight="1" x14ac:dyDescent="0.35">
      <c r="A16" s="165"/>
      <c r="B16" s="207" t="s">
        <v>5</v>
      </c>
      <c r="C16" s="207"/>
      <c r="D16" s="207"/>
      <c r="E16" s="207"/>
      <c r="F16" s="207"/>
      <c r="G16" s="207"/>
      <c r="H16" s="207"/>
      <c r="I16" s="207"/>
      <c r="J16" s="207"/>
      <c r="K16" s="165"/>
    </row>
    <row r="17" spans="1:11" ht="66.75" customHeight="1" x14ac:dyDescent="0.35">
      <c r="A17" s="165"/>
      <c r="B17" s="209" t="s">
        <v>6</v>
      </c>
      <c r="C17" s="209"/>
      <c r="D17" s="209"/>
      <c r="E17" s="209"/>
      <c r="F17" s="209"/>
      <c r="G17" s="209"/>
      <c r="H17" s="209"/>
      <c r="I17" s="209"/>
      <c r="J17" s="209"/>
      <c r="K17" s="165"/>
    </row>
    <row r="18" spans="1:11" s="30" customFormat="1" ht="18.75" customHeight="1" x14ac:dyDescent="0.35">
      <c r="A18" s="166"/>
      <c r="B18" s="207" t="s">
        <v>7</v>
      </c>
      <c r="C18" s="207"/>
      <c r="D18" s="207"/>
      <c r="E18" s="207"/>
      <c r="F18" s="207"/>
      <c r="G18" s="207"/>
      <c r="H18" s="207"/>
      <c r="I18" s="207"/>
      <c r="J18" s="207"/>
      <c r="K18" s="166"/>
    </row>
    <row r="19" spans="1:11" ht="22.5" customHeight="1" x14ac:dyDescent="0.35">
      <c r="A19" s="165"/>
      <c r="B19" s="209" t="s">
        <v>470</v>
      </c>
      <c r="C19" s="209"/>
      <c r="D19" s="209"/>
      <c r="E19" s="209"/>
      <c r="F19" s="209"/>
      <c r="G19" s="209"/>
      <c r="H19" s="209"/>
      <c r="I19" s="209"/>
      <c r="J19" s="209"/>
      <c r="K19" s="165"/>
    </row>
    <row r="20" spans="1:11" ht="22.5" customHeight="1" x14ac:dyDescent="0.35">
      <c r="A20" s="165"/>
      <c r="B20" s="210" t="s">
        <v>8</v>
      </c>
      <c r="C20" s="210"/>
      <c r="D20" s="210"/>
      <c r="E20" s="210"/>
      <c r="F20" s="210"/>
      <c r="G20" s="210"/>
      <c r="H20" s="210"/>
      <c r="I20" s="210"/>
      <c r="J20" s="210"/>
      <c r="K20" s="165"/>
    </row>
    <row r="21" spans="1:11" ht="15.75" customHeight="1" x14ac:dyDescent="0.35">
      <c r="A21" s="165"/>
      <c r="B21" s="205" t="s">
        <v>9</v>
      </c>
      <c r="C21" s="205"/>
      <c r="D21" s="205"/>
      <c r="E21" s="205"/>
      <c r="F21" s="205"/>
      <c r="G21" s="205"/>
      <c r="H21" s="205"/>
      <c r="I21" s="205"/>
      <c r="J21" s="205"/>
      <c r="K21" s="165"/>
    </row>
    <row r="22" spans="1:11" ht="15.75" customHeight="1" x14ac:dyDescent="0.35">
      <c r="A22" s="165"/>
      <c r="B22" s="205" t="s">
        <v>10</v>
      </c>
      <c r="C22" s="205"/>
      <c r="D22" s="205"/>
      <c r="E22" s="205"/>
      <c r="F22" s="205"/>
      <c r="G22" s="205"/>
      <c r="H22" s="205"/>
      <c r="I22" s="205"/>
      <c r="J22" s="205"/>
      <c r="K22" s="165"/>
    </row>
    <row r="23" spans="1:11" ht="15.75" customHeight="1" x14ac:dyDescent="0.35">
      <c r="A23" s="165"/>
      <c r="B23" s="205" t="s">
        <v>11</v>
      </c>
      <c r="C23" s="205"/>
      <c r="D23" s="205"/>
      <c r="E23" s="205"/>
      <c r="F23" s="205"/>
      <c r="G23" s="205"/>
      <c r="H23" s="205"/>
      <c r="I23" s="205"/>
      <c r="J23" s="205"/>
      <c r="K23" s="165"/>
    </row>
    <row r="24" spans="1:11" s="30" customFormat="1" ht="22.5" customHeight="1" x14ac:dyDescent="0.35">
      <c r="A24" s="166"/>
      <c r="B24" s="207" t="s">
        <v>12</v>
      </c>
      <c r="C24" s="207"/>
      <c r="D24" s="207"/>
      <c r="E24" s="207"/>
      <c r="F24" s="207"/>
      <c r="G24" s="207"/>
      <c r="H24" s="207"/>
      <c r="I24" s="207"/>
      <c r="J24" s="207"/>
      <c r="K24" s="166"/>
    </row>
    <row r="25" spans="1:11" ht="21" customHeight="1" x14ac:dyDescent="0.35">
      <c r="A25" s="165"/>
      <c r="B25" s="205" t="s">
        <v>13</v>
      </c>
      <c r="C25" s="205"/>
      <c r="D25" s="205"/>
      <c r="E25" s="205"/>
      <c r="F25" s="209" t="s">
        <v>14</v>
      </c>
      <c r="G25" s="209"/>
      <c r="H25" s="209"/>
      <c r="I25" s="209"/>
      <c r="J25" s="209"/>
      <c r="K25" s="165"/>
    </row>
    <row r="26" spans="1:11" ht="23.25" customHeight="1" x14ac:dyDescent="0.35">
      <c r="A26" s="165"/>
      <c r="B26" s="205" t="s">
        <v>15</v>
      </c>
      <c r="C26" s="205"/>
      <c r="D26" s="205"/>
      <c r="E26" s="205"/>
      <c r="F26" s="209" t="s">
        <v>16</v>
      </c>
      <c r="G26" s="209"/>
      <c r="H26" s="209"/>
      <c r="I26" s="209"/>
      <c r="J26" s="209"/>
      <c r="K26" s="165"/>
    </row>
    <row r="27" spans="1:11" s="30" customFormat="1" ht="18.75" customHeight="1" x14ac:dyDescent="0.35">
      <c r="A27" s="166"/>
      <c r="B27" s="62" t="s">
        <v>17</v>
      </c>
      <c r="C27" s="62"/>
      <c r="D27" s="62"/>
      <c r="E27" s="62"/>
      <c r="F27" s="62"/>
      <c r="G27" s="62"/>
      <c r="H27" s="62"/>
      <c r="I27" s="62"/>
      <c r="J27" s="62"/>
      <c r="K27" s="166"/>
    </row>
    <row r="28" spans="1:11" s="30" customFormat="1" ht="14.25" customHeight="1" x14ac:dyDescent="0.35">
      <c r="A28" s="166"/>
      <c r="B28" s="63" t="s">
        <v>474</v>
      </c>
      <c r="C28" s="114"/>
      <c r="D28" s="114"/>
      <c r="E28" s="114"/>
      <c r="F28" s="114"/>
      <c r="G28" s="114"/>
      <c r="H28" s="114"/>
      <c r="I28" s="114"/>
      <c r="J28" s="114"/>
      <c r="K28" s="166"/>
    </row>
    <row r="29" spans="1:11" s="30" customFormat="1" ht="14.25" customHeight="1" x14ac:dyDescent="0.35">
      <c r="A29" s="166"/>
      <c r="B29" s="64" t="s">
        <v>450</v>
      </c>
      <c r="C29" s="65"/>
      <c r="D29" s="65"/>
      <c r="E29" s="65"/>
      <c r="F29" s="65"/>
      <c r="G29" s="65"/>
      <c r="H29" s="65"/>
      <c r="I29" s="65"/>
      <c r="J29" s="65"/>
      <c r="K29" s="166"/>
    </row>
    <row r="30" spans="1:11" s="30" customFormat="1" ht="14.25" customHeight="1" x14ac:dyDescent="0.35">
      <c r="A30" s="166"/>
      <c r="B30" s="64" t="s">
        <v>451</v>
      </c>
      <c r="C30" s="65"/>
      <c r="D30" s="65"/>
      <c r="E30" s="65"/>
      <c r="F30" s="65"/>
      <c r="G30" s="65"/>
      <c r="H30" s="65"/>
      <c r="I30" s="65"/>
      <c r="J30" s="65"/>
      <c r="K30" s="166"/>
    </row>
    <row r="31" spans="1:11" s="30" customFormat="1" ht="14.25" customHeight="1" x14ac:dyDescent="0.35">
      <c r="A31" s="166"/>
      <c r="B31" s="65" t="s">
        <v>452</v>
      </c>
      <c r="C31" s="64"/>
      <c r="D31" s="64"/>
      <c r="E31" s="64"/>
      <c r="F31" s="64"/>
      <c r="G31" s="64"/>
      <c r="H31" s="64"/>
      <c r="I31" s="64"/>
      <c r="J31" s="64"/>
      <c r="K31" s="166"/>
    </row>
    <row r="32" spans="1:11" s="30" customFormat="1" ht="14.25" customHeight="1" x14ac:dyDescent="0.35">
      <c r="A32" s="166"/>
      <c r="B32" s="64" t="s">
        <v>454</v>
      </c>
      <c r="C32" s="65"/>
      <c r="D32" s="65"/>
      <c r="E32" s="65"/>
      <c r="F32" s="65"/>
      <c r="G32" s="65"/>
      <c r="H32" s="65"/>
      <c r="I32" s="65"/>
      <c r="J32" s="65"/>
      <c r="K32" s="166"/>
    </row>
    <row r="33" spans="1:11" s="30" customFormat="1" ht="14.25" customHeight="1" x14ac:dyDescent="0.35">
      <c r="A33" s="166"/>
      <c r="B33" s="64" t="s">
        <v>475</v>
      </c>
      <c r="C33" s="65"/>
      <c r="D33" s="65"/>
      <c r="E33" s="65"/>
      <c r="F33" s="65"/>
      <c r="G33" s="65"/>
      <c r="H33" s="65"/>
      <c r="I33" s="65"/>
      <c r="J33" s="65"/>
      <c r="K33" s="166"/>
    </row>
    <row r="34" spans="1:11" s="30" customFormat="1" ht="18.75" customHeight="1" x14ac:dyDescent="0.35">
      <c r="A34" s="166"/>
      <c r="B34" s="65" t="s">
        <v>476</v>
      </c>
      <c r="C34" s="65"/>
      <c r="D34" s="65"/>
      <c r="E34" s="65"/>
      <c r="F34" s="65"/>
      <c r="G34" s="65"/>
      <c r="H34" s="65"/>
      <c r="I34" s="65"/>
      <c r="J34" s="65"/>
      <c r="K34" s="166"/>
    </row>
    <row r="35" spans="1:11" ht="15.75" customHeight="1" x14ac:dyDescent="0.35">
      <c r="A35" s="165"/>
      <c r="B35" s="63" t="s">
        <v>18</v>
      </c>
      <c r="C35" s="63"/>
      <c r="D35" s="63"/>
      <c r="E35" s="63"/>
      <c r="F35" s="63"/>
      <c r="G35" s="63"/>
      <c r="H35" s="63"/>
      <c r="I35" s="63"/>
      <c r="J35" s="63"/>
      <c r="K35" s="165"/>
    </row>
    <row r="36" spans="1:11" s="32" customFormat="1" ht="14.25" customHeight="1" x14ac:dyDescent="0.35">
      <c r="A36" s="31"/>
      <c r="B36" s="65" t="s">
        <v>19</v>
      </c>
      <c r="C36" s="65"/>
      <c r="D36" s="65"/>
      <c r="E36" s="65"/>
      <c r="F36" s="65"/>
      <c r="G36" s="65"/>
      <c r="H36" s="65"/>
      <c r="I36" s="65"/>
      <c r="J36" s="65"/>
      <c r="K36" s="31"/>
    </row>
    <row r="37" spans="1:11" s="32" customFormat="1" ht="14.25" customHeight="1" x14ac:dyDescent="0.35">
      <c r="A37" s="31"/>
      <c r="B37" s="64" t="s">
        <v>20</v>
      </c>
      <c r="C37" s="64"/>
      <c r="D37" s="64"/>
      <c r="E37" s="64"/>
      <c r="F37" s="64"/>
      <c r="G37" s="64"/>
      <c r="H37" s="64"/>
      <c r="I37" s="64"/>
      <c r="J37" s="64"/>
      <c r="K37" s="31"/>
    </row>
    <row r="38" spans="1:11" s="32" customFormat="1" ht="14.25" customHeight="1" x14ac:dyDescent="0.35">
      <c r="A38" s="31"/>
      <c r="B38" s="65" t="s">
        <v>21</v>
      </c>
      <c r="C38" s="65"/>
      <c r="D38" s="65"/>
      <c r="E38" s="65"/>
      <c r="F38" s="65"/>
      <c r="G38" s="65"/>
      <c r="H38" s="65"/>
      <c r="I38" s="65"/>
      <c r="J38" s="65"/>
      <c r="K38" s="31"/>
    </row>
    <row r="39" spans="1:11" s="32" customFormat="1" ht="14.25" customHeight="1" x14ac:dyDescent="0.35">
      <c r="A39" s="31"/>
      <c r="B39" s="65" t="s">
        <v>22</v>
      </c>
      <c r="C39" s="65"/>
      <c r="D39" s="65"/>
      <c r="E39" s="65"/>
      <c r="F39" s="65"/>
      <c r="G39" s="65"/>
      <c r="H39" s="65"/>
      <c r="I39" s="65"/>
      <c r="J39" s="65"/>
      <c r="K39" s="31"/>
    </row>
    <row r="40" spans="1:11" s="32" customFormat="1" ht="14.25" customHeight="1" x14ac:dyDescent="0.35">
      <c r="A40" s="31"/>
      <c r="B40" s="65" t="s">
        <v>23</v>
      </c>
      <c r="C40" s="65"/>
      <c r="D40" s="65"/>
      <c r="E40" s="65"/>
      <c r="F40" s="65"/>
      <c r="G40" s="65"/>
      <c r="H40" s="65"/>
      <c r="I40" s="65"/>
      <c r="J40" s="65"/>
      <c r="K40" s="31"/>
    </row>
    <row r="41" spans="1:11" s="32" customFormat="1" ht="14.25" customHeight="1" x14ac:dyDescent="0.35">
      <c r="A41" s="31"/>
      <c r="B41" s="65" t="s">
        <v>24</v>
      </c>
      <c r="C41" s="65"/>
      <c r="D41" s="65"/>
      <c r="E41" s="65"/>
      <c r="F41" s="65"/>
      <c r="G41" s="65"/>
      <c r="H41" s="65"/>
      <c r="I41" s="65"/>
      <c r="J41" s="65"/>
      <c r="K41" s="31"/>
    </row>
    <row r="42" spans="1:11" s="32" customFormat="1" ht="14.25" customHeight="1" x14ac:dyDescent="0.35">
      <c r="A42" s="31"/>
      <c r="B42" s="65" t="s">
        <v>437</v>
      </c>
      <c r="C42" s="65"/>
      <c r="D42" s="65"/>
      <c r="E42" s="65"/>
      <c r="F42" s="65"/>
      <c r="G42" s="65"/>
      <c r="H42" s="65"/>
      <c r="I42" s="65"/>
      <c r="J42" s="65"/>
      <c r="K42" s="31"/>
    </row>
    <row r="43" spans="1:11" s="32" customFormat="1" ht="14.25" customHeight="1" x14ac:dyDescent="0.35">
      <c r="A43" s="31"/>
      <c r="B43" s="65" t="s">
        <v>25</v>
      </c>
      <c r="C43" s="65"/>
      <c r="D43" s="65"/>
      <c r="E43" s="65"/>
      <c r="F43" s="65"/>
      <c r="G43" s="65"/>
      <c r="H43" s="65"/>
      <c r="I43" s="65"/>
      <c r="J43" s="65"/>
      <c r="K43" s="31"/>
    </row>
    <row r="44" spans="1:11" x14ac:dyDescent="0.35">
      <c r="A44" s="165"/>
      <c r="B44" s="167"/>
      <c r="C44" s="168"/>
      <c r="D44" s="168"/>
      <c r="E44" s="168"/>
      <c r="F44" s="168"/>
      <c r="G44" s="168"/>
      <c r="H44" s="168"/>
      <c r="I44" s="168"/>
      <c r="J44" s="168"/>
      <c r="K44" s="165"/>
    </row>
  </sheetData>
  <sheetProtection formatColumns="0" formatRows="0"/>
  <mergeCells count="20">
    <mergeCell ref="B26:E26"/>
    <mergeCell ref="F26:J26"/>
    <mergeCell ref="B23:J23"/>
    <mergeCell ref="B24:J24"/>
    <mergeCell ref="B25:E25"/>
    <mergeCell ref="F25:J25"/>
    <mergeCell ref="B22:J22"/>
    <mergeCell ref="B6:J7"/>
    <mergeCell ref="B9:J9"/>
    <mergeCell ref="B10:J10"/>
    <mergeCell ref="B11:J11"/>
    <mergeCell ref="B12:J12"/>
    <mergeCell ref="B19:J19"/>
    <mergeCell ref="B20:J20"/>
    <mergeCell ref="B21:J21"/>
    <mergeCell ref="B13:J13"/>
    <mergeCell ref="B16:J16"/>
    <mergeCell ref="B17:J17"/>
    <mergeCell ref="B14:J15"/>
    <mergeCell ref="B18:J18"/>
  </mergeCells>
  <hyperlinks>
    <hyperlink ref="B23:J23" r:id="rId1" display="Data and Digital Government Strategy (DDGS Missions)" xr:uid="{F4BCB9CB-389A-48AE-AA51-F57484DEEAC2}"/>
    <hyperlink ref="B22:J22" r:id="rId2" display="Benefits Management tools and templates" xr:uid="{4FF81BD8-8046-4277-8541-B598D191C93A}"/>
    <hyperlink ref="B25" r:id="rId3" xr:uid="{3A2316F4-F2B9-488A-B0E6-C3BFDB76D439}"/>
    <hyperlink ref="B26" r:id="rId4" xr:uid="{9A81E3FF-B058-421E-9949-2EE73D9E41A0}"/>
    <hyperlink ref="B21:J21" r:id="rId5" display="Benefits Management Policy" xr:uid="{D1ACC497-DBF1-4B42-95BC-AB47DEAA7296}"/>
  </hyperlinks>
  <printOptions horizontalCentered="1"/>
  <pageMargins left="0.70866141732283472" right="0.70866141732283472" top="0.74803149606299213" bottom="0.74803149606299213" header="0.31496062992125984" footer="0.31496062992125984"/>
  <pageSetup paperSize="9" scale="77" fitToHeight="0"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B39C2-817B-4CDD-980E-AFA4F2843DBC}">
  <sheetPr>
    <tabColor rgb="FFC8EBD7"/>
    <pageSetUpPr fitToPage="1"/>
  </sheetPr>
  <dimension ref="A1:O154"/>
  <sheetViews>
    <sheetView zoomScale="90" zoomScaleNormal="90" workbookViewId="0">
      <selection activeCell="C10" sqref="C10"/>
    </sheetView>
  </sheetViews>
  <sheetFormatPr defaultColWidth="9.1796875" defaultRowHeight="14.5" outlineLevelCol="1" x14ac:dyDescent="0.35"/>
  <cols>
    <col min="1" max="1" width="2" style="3" customWidth="1"/>
    <col min="2" max="3" width="45.7265625" style="3" customWidth="1"/>
    <col min="4" max="4" width="45.7265625" style="55" hidden="1" customWidth="1" outlineLevel="1"/>
    <col min="5" max="5" width="5.7265625" style="3" customWidth="1" collapsed="1"/>
    <col min="6" max="6" width="45.7265625" style="55" customWidth="1"/>
    <col min="7" max="7" width="45.7265625" style="3" customWidth="1"/>
    <col min="8" max="8" width="45.7265625" style="55"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42"/>
      <c r="D1" s="42"/>
      <c r="E1" s="42"/>
      <c r="F1" s="42"/>
      <c r="G1" s="42"/>
      <c r="H1" s="42"/>
    </row>
    <row r="2" spans="1:15" x14ac:dyDescent="0.35">
      <c r="A2" s="42"/>
      <c r="B2" s="42"/>
      <c r="C2" s="42"/>
      <c r="D2" s="42"/>
      <c r="E2" s="42"/>
      <c r="F2" s="42"/>
      <c r="G2" s="42"/>
      <c r="H2" s="42"/>
    </row>
    <row r="3" spans="1:15" x14ac:dyDescent="0.35">
      <c r="A3" s="42"/>
      <c r="B3" s="42"/>
      <c r="C3" s="42"/>
      <c r="D3" s="42"/>
      <c r="E3" s="42"/>
      <c r="F3" s="42"/>
      <c r="G3" s="42"/>
      <c r="H3" s="42"/>
    </row>
    <row r="4" spans="1:15" ht="42" customHeight="1" x14ac:dyDescent="0.35">
      <c r="A4" s="42"/>
      <c r="B4" s="42"/>
      <c r="C4" s="42"/>
      <c r="D4" s="42"/>
      <c r="E4" s="42"/>
      <c r="F4" s="42"/>
      <c r="G4" s="42"/>
      <c r="H4" s="42"/>
    </row>
    <row r="5" spans="1:15" ht="46" x14ac:dyDescent="0.35">
      <c r="A5" s="42"/>
      <c r="B5" s="204" t="s">
        <v>201</v>
      </c>
      <c r="C5" s="57"/>
      <c r="D5" s="152"/>
      <c r="E5" s="56"/>
      <c r="F5" s="56"/>
      <c r="G5" s="42"/>
      <c r="H5" s="42"/>
    </row>
    <row r="6" spans="1:15" x14ac:dyDescent="0.35">
      <c r="A6" s="42"/>
      <c r="B6" s="42"/>
      <c r="C6" s="42"/>
      <c r="D6" s="42"/>
      <c r="E6" s="42"/>
      <c r="F6" s="42"/>
      <c r="G6" s="42"/>
      <c r="H6" s="42"/>
    </row>
    <row r="7" spans="1:15" ht="15" customHeight="1" x14ac:dyDescent="0.35">
      <c r="A7" s="42"/>
      <c r="B7" s="56"/>
      <c r="C7" s="152"/>
      <c r="D7" s="153"/>
      <c r="E7" s="43"/>
      <c r="F7" s="43"/>
      <c r="G7" s="147"/>
      <c r="H7" s="147"/>
    </row>
    <row r="8" spans="1:15" ht="15" customHeight="1" x14ac:dyDescent="0.35">
      <c r="A8" s="42"/>
      <c r="B8" s="42"/>
      <c r="C8" s="147"/>
      <c r="D8" s="147"/>
      <c r="E8" s="43"/>
      <c r="F8" s="43"/>
      <c r="G8" s="147"/>
      <c r="H8" s="147"/>
    </row>
    <row r="9" spans="1:15" s="4" customFormat="1" ht="15" customHeight="1" x14ac:dyDescent="0.35">
      <c r="A9" s="44"/>
      <c r="B9" s="45" t="s">
        <v>103</v>
      </c>
      <c r="C9" s="199"/>
      <c r="D9" s="147"/>
      <c r="E9" s="43"/>
      <c r="F9" s="43"/>
      <c r="G9" s="147"/>
      <c r="H9" s="147"/>
      <c r="J9" s="3"/>
      <c r="K9" s="3"/>
      <c r="L9" s="3"/>
      <c r="M9" s="3"/>
      <c r="N9" s="3"/>
      <c r="O9" s="3"/>
    </row>
    <row r="10" spans="1:15" ht="15" customHeight="1" x14ac:dyDescent="0.35">
      <c r="A10" s="42"/>
      <c r="B10" s="88" t="s">
        <v>29</v>
      </c>
      <c r="C10" s="92">
        <f>'Benefit Profile 1'!$C$10</f>
        <v>0</v>
      </c>
      <c r="D10" s="147"/>
      <c r="E10" s="43"/>
      <c r="F10" s="43"/>
      <c r="G10" s="147"/>
      <c r="H10" s="147"/>
    </row>
    <row r="11" spans="1:15" ht="15" customHeight="1" x14ac:dyDescent="0.35">
      <c r="A11" s="42"/>
      <c r="B11" s="90" t="s">
        <v>30</v>
      </c>
      <c r="C11" s="92">
        <f>'Benefit Profile 1'!$C$11</f>
        <v>0</v>
      </c>
      <c r="D11" s="147"/>
      <c r="E11" s="43"/>
      <c r="F11" s="43"/>
      <c r="G11" s="147"/>
      <c r="H11" s="147"/>
    </row>
    <row r="12" spans="1:15" ht="15" customHeight="1" x14ac:dyDescent="0.35">
      <c r="A12" s="42"/>
      <c r="B12" s="90" t="s">
        <v>31</v>
      </c>
      <c r="C12" s="97" t="str">
        <f>'Benefit Profile 1'!$C$12</f>
        <v>Please select</v>
      </c>
      <c r="D12" s="147"/>
      <c r="E12" s="43"/>
      <c r="F12" s="43"/>
      <c r="G12" s="147"/>
      <c r="H12" s="147"/>
    </row>
    <row r="13" spans="1:15" ht="15" customHeight="1" x14ac:dyDescent="0.35">
      <c r="A13" s="42"/>
      <c r="B13" s="90" t="s">
        <v>33</v>
      </c>
      <c r="C13" s="97" t="str">
        <f>'Benefit Profile 1'!$C$13</f>
        <v>Please select</v>
      </c>
      <c r="D13" s="147"/>
      <c r="E13" s="43"/>
      <c r="F13" s="43"/>
      <c r="G13" s="147"/>
      <c r="H13" s="147"/>
    </row>
    <row r="14" spans="1:15" ht="30" customHeight="1" x14ac:dyDescent="0.35">
      <c r="A14" s="42"/>
      <c r="B14" s="91" t="s">
        <v>105</v>
      </c>
      <c r="C14" s="97" t="str">
        <f>'Benefit Profile 1'!$C$14</f>
        <v>Please select</v>
      </c>
      <c r="D14" s="147"/>
      <c r="E14" s="43"/>
      <c r="F14" s="43"/>
      <c r="G14" s="147"/>
      <c r="H14" s="147"/>
    </row>
    <row r="15" spans="1:15" ht="15" customHeight="1" x14ac:dyDescent="0.35">
      <c r="A15" s="42"/>
      <c r="B15" s="43"/>
      <c r="C15" s="147"/>
      <c r="D15" s="147"/>
      <c r="E15" s="43"/>
      <c r="F15" s="43"/>
      <c r="G15" s="147"/>
      <c r="H15" s="147"/>
    </row>
    <row r="16" spans="1:15" ht="15" customHeight="1" x14ac:dyDescent="0.35">
      <c r="A16" s="42"/>
      <c r="B16" s="43"/>
      <c r="C16" s="147"/>
      <c r="D16" s="147"/>
      <c r="E16" s="43"/>
      <c r="F16" s="43"/>
      <c r="G16" s="147"/>
      <c r="H16" s="147"/>
    </row>
    <row r="17" spans="1:15" s="4" customFormat="1" ht="15" customHeight="1" x14ac:dyDescent="0.35">
      <c r="A17" s="44"/>
      <c r="B17" s="47" t="s">
        <v>42</v>
      </c>
      <c r="C17" s="195"/>
      <c r="D17" s="154" t="s">
        <v>106</v>
      </c>
      <c r="E17" s="49"/>
      <c r="F17" s="47" t="s">
        <v>107</v>
      </c>
      <c r="G17" s="195"/>
      <c r="H17" s="148" t="s">
        <v>106</v>
      </c>
      <c r="J17" s="3"/>
      <c r="K17" s="3"/>
      <c r="L17" s="3"/>
      <c r="M17" s="3"/>
      <c r="N17" s="3"/>
      <c r="O17" s="3"/>
    </row>
    <row r="18" spans="1:15" s="30" customFormat="1" ht="15" customHeight="1" x14ac:dyDescent="0.35">
      <c r="A18" s="50"/>
      <c r="B18" s="54" t="s">
        <v>38</v>
      </c>
      <c r="C18" s="76" t="str">
        <f>IF(AND(LEFT(C10, 4)="INV-", ISNUMBER(VALUE(MID(C10, 5, LEN(C10)-4)))), C10 &amp; "-" &amp; VLOOKUP("Benefit Profile 8", BenefitNumbering[#All], 2, FALSE), "")</f>
        <v/>
      </c>
      <c r="D18" s="76" t="str">
        <f>IF(AND(LEFT(C10, 4)="INV-", ISNUMBER(VALUE(MID(C10, 5, LEN(C10)-4)))), C10 &amp; "-" &amp; VLOOKUP("Benefit Profile 8", BenefitNumberingVar[#All], 2, FALSE), "")</f>
        <v/>
      </c>
      <c r="E18" s="51"/>
      <c r="F18" s="54" t="s">
        <v>108</v>
      </c>
      <c r="G18" s="118">
        <f>'Benefit Profile 1'!$G$18</f>
        <v>0</v>
      </c>
      <c r="H18" s="197">
        <f>'Benefit Profile 1'!$H$18</f>
        <v>0</v>
      </c>
      <c r="J18" s="3"/>
      <c r="K18" s="3"/>
      <c r="L18" s="3"/>
      <c r="M18" s="3"/>
      <c r="N18" s="3"/>
      <c r="O18" s="3"/>
    </row>
    <row r="19" spans="1:15" ht="15" customHeight="1" x14ac:dyDescent="0.35">
      <c r="A19" s="42"/>
      <c r="B19" s="85" t="s">
        <v>109</v>
      </c>
      <c r="C19" s="41"/>
      <c r="D19" s="150"/>
      <c r="E19" s="43"/>
      <c r="F19" s="86" t="s">
        <v>110</v>
      </c>
      <c r="G19" s="118">
        <f>'Benefit Profile 1'!$G$19</f>
        <v>0</v>
      </c>
      <c r="H19" s="197">
        <f>'Benefit Profile 1'!$H$19</f>
        <v>0</v>
      </c>
    </row>
    <row r="20" spans="1:15" ht="15" customHeight="1" x14ac:dyDescent="0.35">
      <c r="A20" s="42"/>
      <c r="B20" s="85" t="s">
        <v>41</v>
      </c>
      <c r="C20" s="41"/>
      <c r="D20" s="150"/>
      <c r="E20" s="43"/>
      <c r="F20" s="86" t="s">
        <v>46</v>
      </c>
      <c r="G20" s="118">
        <f>'Benefit Profile 1'!$G$20</f>
        <v>0</v>
      </c>
      <c r="H20" s="197">
        <f>'Benefit Profile 1'!$H$20</f>
        <v>0</v>
      </c>
    </row>
    <row r="21" spans="1:15" ht="15" customHeight="1" x14ac:dyDescent="0.35">
      <c r="A21" s="42"/>
      <c r="B21" s="242" t="s">
        <v>42</v>
      </c>
      <c r="C21" s="241"/>
      <c r="D21" s="233"/>
      <c r="E21" s="43"/>
      <c r="F21" s="86" t="s">
        <v>111</v>
      </c>
      <c r="G21" s="99"/>
      <c r="H21" s="170"/>
    </row>
    <row r="22" spans="1:15" ht="15" customHeight="1" x14ac:dyDescent="0.35">
      <c r="A22" s="42"/>
      <c r="B22" s="243"/>
      <c r="C22" s="241"/>
      <c r="D22" s="235"/>
      <c r="E22" s="43"/>
      <c r="F22" s="86" t="s">
        <v>112</v>
      </c>
      <c r="G22" s="97">
        <f>'Benefit Profile 1'!$G$22</f>
        <v>0</v>
      </c>
      <c r="H22" s="97">
        <f>'Benefit Profile 1'!$H$22</f>
        <v>0</v>
      </c>
    </row>
    <row r="23" spans="1:15" ht="15" customHeight="1" x14ac:dyDescent="0.35">
      <c r="A23" s="42"/>
      <c r="B23" s="243"/>
      <c r="C23" s="241"/>
      <c r="D23" s="235"/>
      <c r="E23" s="43"/>
      <c r="F23" s="86" t="s">
        <v>113</v>
      </c>
      <c r="G23" s="99"/>
      <c r="H23" s="170"/>
    </row>
    <row r="24" spans="1:15" ht="15" customHeight="1" x14ac:dyDescent="0.35">
      <c r="A24" s="42"/>
      <c r="B24" s="243"/>
      <c r="C24" s="241"/>
      <c r="D24" s="235"/>
      <c r="E24" s="43"/>
      <c r="F24" s="242" t="s">
        <v>48</v>
      </c>
      <c r="G24" s="237"/>
      <c r="H24" s="233"/>
    </row>
    <row r="25" spans="1:15" ht="15" customHeight="1" x14ac:dyDescent="0.35">
      <c r="A25" s="42"/>
      <c r="B25" s="244"/>
      <c r="C25" s="238"/>
      <c r="D25" s="236"/>
      <c r="E25" s="43"/>
      <c r="F25" s="244"/>
      <c r="G25" s="238"/>
      <c r="H25" s="236"/>
    </row>
    <row r="26" spans="1:15" s="4" customFormat="1" ht="15" customHeight="1" x14ac:dyDescent="0.35">
      <c r="A26" s="44"/>
      <c r="B26" s="52"/>
      <c r="C26" s="147"/>
      <c r="D26" s="147"/>
      <c r="E26" s="43"/>
      <c r="F26" s="43"/>
      <c r="G26" s="147"/>
      <c r="H26" s="151"/>
      <c r="J26" s="3"/>
      <c r="K26" s="3"/>
      <c r="L26" s="3"/>
      <c r="M26" s="3"/>
      <c r="N26" s="3"/>
      <c r="O26" s="3"/>
    </row>
    <row r="27" spans="1:15" ht="15" customHeight="1" x14ac:dyDescent="0.35">
      <c r="A27" s="42"/>
      <c r="B27" s="47" t="s">
        <v>50</v>
      </c>
      <c r="C27" s="195"/>
      <c r="D27" s="148" t="s">
        <v>106</v>
      </c>
      <c r="E27" s="53"/>
      <c r="F27" s="47" t="s">
        <v>114</v>
      </c>
      <c r="G27" s="195"/>
      <c r="H27" s="148" t="s">
        <v>106</v>
      </c>
    </row>
    <row r="28" spans="1:15" ht="15" customHeight="1" x14ac:dyDescent="0.35">
      <c r="A28" s="42"/>
      <c r="B28" s="54" t="s">
        <v>51</v>
      </c>
      <c r="C28" s="41" t="s">
        <v>104</v>
      </c>
      <c r="D28" s="149" t="s">
        <v>104</v>
      </c>
      <c r="E28" s="43"/>
      <c r="F28" s="54" t="s">
        <v>62</v>
      </c>
      <c r="G28" s="75" t="str">
        <f>IF(AND($C$46="",$G$46="",$C$67="",$G$67=""),"",MIN($C$46,$G$46,$C$67,$G$67))</f>
        <v/>
      </c>
      <c r="H28" s="75" t="str">
        <f>IF(AND(D46="",$H$46="",$D$67="",$H$67=""),"",MIN($D$46,$H$46,$D$67,$H$67))</f>
        <v/>
      </c>
    </row>
    <row r="29" spans="1:15" ht="15" customHeight="1" x14ac:dyDescent="0.35">
      <c r="A29" s="42"/>
      <c r="B29" s="54" t="s">
        <v>53</v>
      </c>
      <c r="C29" s="41" t="s">
        <v>104</v>
      </c>
      <c r="D29" s="149" t="s">
        <v>104</v>
      </c>
      <c r="E29" s="43"/>
      <c r="F29" s="54" t="s">
        <v>64</v>
      </c>
      <c r="G29" s="75" t="str">
        <f>IF(AND($C$47="",$G$47="",$C$68="",$G$68=""),"",MAX($C$47,$G$47,$C$68,$G$68))</f>
        <v/>
      </c>
      <c r="H29" s="75" t="str">
        <f>IF(AND($D$47="",$H$47="",$D$68="",$H$68=""),"",MAX($D$47,$H$47,$D$68,$H$68))</f>
        <v/>
      </c>
    </row>
    <row r="30" spans="1:15" ht="15" customHeight="1" x14ac:dyDescent="0.35">
      <c r="A30" s="42"/>
      <c r="B30" s="54" t="s">
        <v>55</v>
      </c>
      <c r="C30" s="41" t="s">
        <v>104</v>
      </c>
      <c r="D30" s="149" t="s">
        <v>104</v>
      </c>
      <c r="E30" s="43"/>
      <c r="F30" s="119" t="s">
        <v>66</v>
      </c>
      <c r="G30" s="120" t="str">
        <f>IF(VLOOKUP($C$140,MeasureConfidence[[#All],[Confidence Score]:[Cross Ref]],2,FALSE)=0,"",VLOOKUP($C$140,MeasureConfidence[[#All],[Confidence Score]:[Cross Ref]],2,FALSE))</f>
        <v/>
      </c>
      <c r="H30" s="120" t="str">
        <f>IF(VLOOKUP($G$140,MeasureConfidence[[#All],[Confidence Score]:[Cross Ref]],2,FALSE)=0,"",VLOOKUP($G$140,MeasureConfidence[[#All],[Confidence Score]:[Cross Ref]],2,FALSE))</f>
        <v/>
      </c>
    </row>
    <row r="31" spans="1:15" ht="15" customHeight="1" x14ac:dyDescent="0.35">
      <c r="A31" s="42"/>
      <c r="B31" s="54" t="s">
        <v>57</v>
      </c>
      <c r="C31" s="41" t="s">
        <v>104</v>
      </c>
      <c r="D31" s="149" t="s">
        <v>104</v>
      </c>
      <c r="E31" s="43"/>
      <c r="F31" s="43"/>
      <c r="G31" s="147"/>
      <c r="H31" s="147"/>
    </row>
    <row r="32" spans="1:15" ht="15" customHeight="1" x14ac:dyDescent="0.35">
      <c r="A32" s="42"/>
      <c r="B32" s="74" t="s">
        <v>59</v>
      </c>
      <c r="C32" s="84" t="s">
        <v>104</v>
      </c>
      <c r="D32" s="155" t="s">
        <v>104</v>
      </c>
      <c r="E32" s="43"/>
      <c r="F32" s="43"/>
      <c r="G32" s="147"/>
      <c r="H32" s="147"/>
    </row>
    <row r="33" spans="1:8" ht="15" customHeight="1" x14ac:dyDescent="0.35">
      <c r="A33" s="42"/>
      <c r="B33" s="52"/>
      <c r="C33" s="147"/>
      <c r="D33" s="147"/>
      <c r="E33" s="43"/>
      <c r="F33" s="43"/>
      <c r="G33" s="147"/>
      <c r="H33" s="147"/>
    </row>
    <row r="34" spans="1:8" ht="15" customHeight="1" x14ac:dyDescent="0.35">
      <c r="A34" s="42"/>
      <c r="B34" s="47" t="s">
        <v>115</v>
      </c>
      <c r="C34" s="195"/>
      <c r="D34" s="154" t="s">
        <v>106</v>
      </c>
      <c r="E34" s="43"/>
      <c r="F34" s="47" t="s">
        <v>116</v>
      </c>
      <c r="G34" s="195"/>
      <c r="H34" s="148" t="s">
        <v>106</v>
      </c>
    </row>
    <row r="35" spans="1:8" ht="15" customHeight="1" x14ac:dyDescent="0.35">
      <c r="A35" s="42"/>
      <c r="B35" s="54" t="s">
        <v>69</v>
      </c>
      <c r="C35" s="76" t="str">
        <f>IF(AND(LEFT($C$10, 4)="INV-", ISNUMBER(VALUE(MID($C$10, 5, LEN($C$10)-4))), $C$36&lt;&gt;""), $C$10 &amp; "-" &amp; VLOOKUP("Benefit Profile 8", BenefitNumbering[#All], 2, FALSE) &amp; "-1", "")</f>
        <v/>
      </c>
      <c r="D35" s="76" t="str">
        <f>IF(AND(LEFT($C$10, 4)="INV-", ISNUMBER(VALUE(MID($C$10, 5, LEN($C$10)-4))), $D$36&lt;&gt;""), $C$10 &amp; "-" &amp; VLOOKUP("Benefit Profile 8", BenefitNumberingVar[#All], 2, FALSE) &amp; "-1", "")</f>
        <v/>
      </c>
      <c r="E35" s="43"/>
      <c r="F35" s="54" t="s">
        <v>69</v>
      </c>
      <c r="G35" s="76" t="str">
        <f>IF(AND(LEFT($C$10, 4)="INV-", ISNUMBER(VALUE(MID($C$10, 5, LEN($C$10)-4))), $G$36&lt;&gt;""), $C$10 &amp; "-" &amp; VLOOKUP("Benefit Profile 8", BenefitNumbering[#All], 2, FALSE) &amp; "-2", "")</f>
        <v/>
      </c>
      <c r="H35" s="76" t="str">
        <f>IF(AND(LEFT($C$10, 4)="INV-", ISNUMBER(VALUE(MID($C$10, 5, LEN($C$10)-4))), $H$36&lt;&gt;""), $C$10 &amp; "-" &amp; VLOOKUP("Benefit Profile 8", BenefitNumberingVar[#All], 2, FALSE) &amp; "-2", "")</f>
        <v/>
      </c>
    </row>
    <row r="36" spans="1:8" ht="15" customHeight="1" x14ac:dyDescent="0.35">
      <c r="A36" s="42"/>
      <c r="B36" s="54" t="s">
        <v>117</v>
      </c>
      <c r="C36" s="169"/>
      <c r="D36" s="143"/>
      <c r="E36" s="43"/>
      <c r="F36" s="54" t="s">
        <v>117</v>
      </c>
      <c r="G36" s="169"/>
      <c r="H36" s="143"/>
    </row>
    <row r="37" spans="1:8" ht="15" customHeight="1" x14ac:dyDescent="0.35">
      <c r="A37" s="42"/>
      <c r="B37" s="54" t="s">
        <v>72</v>
      </c>
      <c r="C37" s="169"/>
      <c r="D37" s="143"/>
      <c r="E37" s="43"/>
      <c r="F37" s="54" t="s">
        <v>72</v>
      </c>
      <c r="G37" s="169"/>
      <c r="H37" s="143"/>
    </row>
    <row r="38" spans="1:8" ht="15" customHeight="1" x14ac:dyDescent="0.35">
      <c r="A38" s="42"/>
      <c r="B38" s="115" t="s">
        <v>74</v>
      </c>
      <c r="C38" s="169"/>
      <c r="D38" s="143"/>
      <c r="E38" s="43"/>
      <c r="F38" s="54" t="s">
        <v>74</v>
      </c>
      <c r="G38" s="169"/>
      <c r="H38" s="143"/>
    </row>
    <row r="39" spans="1:8" ht="15" customHeight="1" x14ac:dyDescent="0.35">
      <c r="A39" s="42"/>
      <c r="B39" s="54" t="s">
        <v>76</v>
      </c>
      <c r="C39" s="169"/>
      <c r="D39" s="143"/>
      <c r="E39" s="43"/>
      <c r="F39" s="54" t="s">
        <v>76</v>
      </c>
      <c r="G39" s="169"/>
      <c r="H39" s="143"/>
    </row>
    <row r="40" spans="1:8" ht="15" customHeight="1" x14ac:dyDescent="0.35">
      <c r="A40" s="42"/>
      <c r="B40" s="54" t="s">
        <v>78</v>
      </c>
      <c r="C40" s="169"/>
      <c r="D40" s="143"/>
      <c r="E40" s="43"/>
      <c r="F40" s="54" t="s">
        <v>78</v>
      </c>
      <c r="G40" s="169"/>
      <c r="H40" s="143"/>
    </row>
    <row r="41" spans="1:8" ht="15" customHeight="1" x14ac:dyDescent="0.35">
      <c r="A41" s="42"/>
      <c r="B41" s="115" t="s">
        <v>439</v>
      </c>
      <c r="C41" s="169" t="s">
        <v>104</v>
      </c>
      <c r="D41" s="143" t="s">
        <v>104</v>
      </c>
      <c r="E41" s="43"/>
      <c r="F41" s="115" t="s">
        <v>439</v>
      </c>
      <c r="G41" s="169" t="s">
        <v>104</v>
      </c>
      <c r="H41" s="143"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438</v>
      </c>
      <c r="C45" s="116">
        <f>C44-C43</f>
        <v>0</v>
      </c>
      <c r="D45" s="116">
        <f>D44-D43</f>
        <v>0</v>
      </c>
      <c r="E45" s="43"/>
      <c r="F45" s="54" t="s">
        <v>438</v>
      </c>
      <c r="G45" s="116">
        <f>G44-G43</f>
        <v>0</v>
      </c>
      <c r="H45" s="116">
        <f>H44-H43</f>
        <v>0</v>
      </c>
    </row>
    <row r="46" spans="1:8" ht="15" customHeight="1" x14ac:dyDescent="0.35">
      <c r="A46" s="42"/>
      <c r="B46" s="54" t="s">
        <v>119</v>
      </c>
      <c r="C46" s="171"/>
      <c r="D46" s="132"/>
      <c r="E46" s="43"/>
      <c r="F46" s="54" t="s">
        <v>119</v>
      </c>
      <c r="G46" s="171"/>
      <c r="H46" s="132"/>
    </row>
    <row r="47" spans="1:8" ht="15" customHeight="1" x14ac:dyDescent="0.35">
      <c r="A47" s="42"/>
      <c r="B47" s="54" t="s">
        <v>120</v>
      </c>
      <c r="C47" s="171"/>
      <c r="D47" s="132"/>
      <c r="E47" s="43"/>
      <c r="F47" s="54" t="s">
        <v>120</v>
      </c>
      <c r="G47" s="171"/>
      <c r="H47" s="132"/>
    </row>
    <row r="48" spans="1:8" ht="15" customHeight="1" x14ac:dyDescent="0.35">
      <c r="A48" s="42"/>
      <c r="B48" s="54" t="s">
        <v>121</v>
      </c>
      <c r="C48" s="98"/>
      <c r="D48" s="144"/>
      <c r="E48" s="43"/>
      <c r="F48" s="54" t="s">
        <v>121</v>
      </c>
      <c r="G48" s="98"/>
      <c r="H48" s="144"/>
    </row>
    <row r="49" spans="1:8" ht="15" customHeight="1" x14ac:dyDescent="0.35">
      <c r="A49" s="42"/>
      <c r="B49" s="54" t="s">
        <v>92</v>
      </c>
      <c r="C49" s="81" t="s">
        <v>104</v>
      </c>
      <c r="D49" s="145" t="s">
        <v>104</v>
      </c>
      <c r="E49" s="43"/>
      <c r="F49" s="54" t="s">
        <v>92</v>
      </c>
      <c r="G49" s="81" t="s">
        <v>104</v>
      </c>
      <c r="H49" s="145"/>
    </row>
    <row r="50" spans="1:8" ht="15" customHeight="1" x14ac:dyDescent="0.35">
      <c r="A50" s="42"/>
      <c r="B50" s="54" t="s">
        <v>98</v>
      </c>
      <c r="C50" s="82"/>
      <c r="D50" s="145"/>
      <c r="E50" s="43"/>
      <c r="F50" s="54" t="s">
        <v>98</v>
      </c>
      <c r="G50" s="82"/>
      <c r="H50" s="145"/>
    </row>
    <row r="51" spans="1:8" ht="15" customHeight="1" x14ac:dyDescent="0.35">
      <c r="A51" s="42"/>
      <c r="B51" s="54" t="s">
        <v>94</v>
      </c>
      <c r="C51" s="82"/>
      <c r="D51" s="145"/>
      <c r="E51" s="43"/>
      <c r="F51" s="54" t="s">
        <v>94</v>
      </c>
      <c r="G51" s="82"/>
      <c r="H51" s="145"/>
    </row>
    <row r="52" spans="1:8" ht="15" customHeight="1" x14ac:dyDescent="0.35">
      <c r="A52" s="42"/>
      <c r="B52" s="54" t="s">
        <v>96</v>
      </c>
      <c r="C52" s="82"/>
      <c r="D52" s="146"/>
      <c r="E52" s="43"/>
      <c r="F52" s="54" t="s">
        <v>96</v>
      </c>
      <c r="G52" s="82"/>
      <c r="H52" s="146"/>
    </row>
    <row r="53" spans="1:8" ht="15" customHeight="1" x14ac:dyDescent="0.35">
      <c r="A53" s="42"/>
      <c r="B53" s="77" t="s">
        <v>100</v>
      </c>
      <c r="C53" s="83" t="s">
        <v>104</v>
      </c>
      <c r="D53" s="188" t="s">
        <v>104</v>
      </c>
      <c r="E53" s="43"/>
      <c r="F53" s="77" t="s">
        <v>100</v>
      </c>
      <c r="G53" s="83" t="s">
        <v>104</v>
      </c>
      <c r="H53" s="188" t="s">
        <v>104</v>
      </c>
    </row>
    <row r="54" spans="1:8" ht="15" customHeight="1" x14ac:dyDescent="0.35">
      <c r="A54" s="42"/>
      <c r="B54" s="52"/>
      <c r="C54" s="147"/>
      <c r="D54" s="147"/>
      <c r="E54" s="43"/>
      <c r="F54" s="43"/>
      <c r="G54" s="147"/>
      <c r="H54" s="147"/>
    </row>
    <row r="55" spans="1:8" ht="15" customHeight="1" x14ac:dyDescent="0.35">
      <c r="A55" s="42"/>
      <c r="B55" s="47" t="s">
        <v>122</v>
      </c>
      <c r="C55" s="195"/>
      <c r="D55" s="148" t="s">
        <v>106</v>
      </c>
      <c r="E55" s="43"/>
      <c r="F55" s="47" t="s">
        <v>123</v>
      </c>
      <c r="G55" s="195"/>
      <c r="H55" s="148" t="s">
        <v>106</v>
      </c>
    </row>
    <row r="56" spans="1:8" ht="15" customHeight="1" x14ac:dyDescent="0.35">
      <c r="A56" s="42"/>
      <c r="B56" s="54" t="s">
        <v>69</v>
      </c>
      <c r="C56" s="76" t="str">
        <f>IF(AND(LEFT($C$10, 4)="INV-", ISNUMBER(VALUE(MID($C$10, 5, LEN($C$10)-4))), $C$57&lt;&gt;""), $C$10 &amp; "-" &amp; VLOOKUP("Benefit Profile 8", BenefitNumbering[#All], 2, FALSE) &amp; "-3", "")</f>
        <v/>
      </c>
      <c r="D56" s="76" t="str">
        <f>IF(AND(LEFT($C$10, 4)="INV-", ISNUMBER(VALUE(MID($C$10, 5, LEN($C$10)-4))), $D$57&lt;&gt;""), $C$10 &amp; "-" &amp; VLOOKUP("Benefit Profile 8", BenefitNumberingVar[#All], 2, FALSE) &amp; "-3", "")</f>
        <v/>
      </c>
      <c r="E56" s="43"/>
      <c r="F56" s="54" t="s">
        <v>69</v>
      </c>
      <c r="G56" s="76" t="str">
        <f>IF(AND(LEFT($C$10, 4)="INV-", ISNUMBER(VALUE(MID($C$10, 5, LEN($C$10)-4))), $G$57&lt;&gt;""), $C$10 &amp; "-" &amp; VLOOKUP("Benefit Profile 8", BenefitNumbering[#All], 2, FALSE) &amp; "-4", "")</f>
        <v/>
      </c>
      <c r="H56" s="76" t="str">
        <f>IF(AND(LEFT($C$10, 4)="INV-", ISNUMBER(VALUE(MID($C$10, 5, LEN($C$10)-4))), $H$57&lt;&gt;""), $C$10 &amp; "-" &amp; VLOOKUP("Benefit Profile 8", BenefitNumberingVar[#All], 2, FALSE) &amp; "-4", "")</f>
        <v/>
      </c>
    </row>
    <row r="57" spans="1:8" ht="15" customHeight="1" x14ac:dyDescent="0.35">
      <c r="A57" s="55"/>
      <c r="B57" s="54" t="s">
        <v>117</v>
      </c>
      <c r="C57" s="169"/>
      <c r="D57" s="143"/>
      <c r="E57" s="78"/>
      <c r="F57" s="54" t="s">
        <v>117</v>
      </c>
      <c r="G57" s="169"/>
      <c r="H57" s="143"/>
    </row>
    <row r="58" spans="1:8" ht="15" customHeight="1" x14ac:dyDescent="0.35">
      <c r="A58" s="55"/>
      <c r="B58" s="54" t="s">
        <v>72</v>
      </c>
      <c r="C58" s="169"/>
      <c r="D58" s="143"/>
      <c r="E58" s="43"/>
      <c r="F58" s="54" t="s">
        <v>72</v>
      </c>
      <c r="G58" s="169"/>
      <c r="H58" s="143"/>
    </row>
    <row r="59" spans="1:8" ht="15" customHeight="1" x14ac:dyDescent="0.35">
      <c r="A59" s="55"/>
      <c r="B59" s="54" t="s">
        <v>74</v>
      </c>
      <c r="C59" s="169"/>
      <c r="D59" s="143"/>
      <c r="E59" s="43"/>
      <c r="F59" s="54" t="s">
        <v>74</v>
      </c>
      <c r="G59" s="169"/>
      <c r="H59" s="143"/>
    </row>
    <row r="60" spans="1:8" ht="15" customHeight="1" x14ac:dyDescent="0.35">
      <c r="A60" s="55"/>
      <c r="B60" s="54" t="s">
        <v>76</v>
      </c>
      <c r="C60" s="169"/>
      <c r="D60" s="143"/>
      <c r="E60" s="43"/>
      <c r="F60" s="54" t="s">
        <v>76</v>
      </c>
      <c r="G60" s="169"/>
      <c r="H60" s="143"/>
    </row>
    <row r="61" spans="1:8" ht="15" customHeight="1" x14ac:dyDescent="0.35">
      <c r="A61" s="55"/>
      <c r="B61" s="54" t="s">
        <v>78</v>
      </c>
      <c r="C61" s="169"/>
      <c r="D61" s="143"/>
      <c r="E61" s="43"/>
      <c r="F61" s="54" t="s">
        <v>78</v>
      </c>
      <c r="G61" s="169"/>
      <c r="H61" s="143"/>
    </row>
    <row r="62" spans="1:8" ht="15" customHeight="1" x14ac:dyDescent="0.35">
      <c r="A62" s="55"/>
      <c r="B62" s="115" t="s">
        <v>439</v>
      </c>
      <c r="C62" s="169" t="s">
        <v>104</v>
      </c>
      <c r="D62" s="143" t="s">
        <v>104</v>
      </c>
      <c r="E62" s="43"/>
      <c r="F62" s="115" t="s">
        <v>439</v>
      </c>
      <c r="G62" s="169" t="s">
        <v>104</v>
      </c>
      <c r="H62" s="143" t="s">
        <v>104</v>
      </c>
    </row>
    <row r="63" spans="1:8" ht="15" customHeight="1" x14ac:dyDescent="0.35">
      <c r="A63" s="55"/>
      <c r="B63" s="54" t="s">
        <v>118</v>
      </c>
      <c r="C63" s="171"/>
      <c r="D63" s="132"/>
      <c r="E63" s="43"/>
      <c r="F63" s="54" t="s">
        <v>118</v>
      </c>
      <c r="G63" s="171"/>
      <c r="H63" s="132"/>
    </row>
    <row r="64" spans="1:8" ht="15" customHeight="1" x14ac:dyDescent="0.35">
      <c r="A64" s="55"/>
      <c r="B64" s="54" t="s">
        <v>82</v>
      </c>
      <c r="C64" s="157"/>
      <c r="D64" s="133"/>
      <c r="E64" s="43"/>
      <c r="F64" s="54" t="s">
        <v>82</v>
      </c>
      <c r="G64" s="157"/>
      <c r="H64" s="133"/>
    </row>
    <row r="65" spans="1:8" ht="15" customHeight="1" x14ac:dyDescent="0.35">
      <c r="A65" s="55"/>
      <c r="B65" s="54" t="s">
        <v>84</v>
      </c>
      <c r="C65" s="157"/>
      <c r="D65" s="133"/>
      <c r="E65" s="43"/>
      <c r="F65" s="54" t="s">
        <v>84</v>
      </c>
      <c r="G65" s="157"/>
      <c r="H65" s="133"/>
    </row>
    <row r="66" spans="1:8" ht="15" customHeight="1" x14ac:dyDescent="0.35">
      <c r="A66" s="55"/>
      <c r="B66" s="54" t="s">
        <v>438</v>
      </c>
      <c r="C66" s="116">
        <f>C65-C64</f>
        <v>0</v>
      </c>
      <c r="D66" s="116">
        <f>D65-D64</f>
        <v>0</v>
      </c>
      <c r="E66" s="43"/>
      <c r="F66" s="54" t="s">
        <v>438</v>
      </c>
      <c r="G66" s="116">
        <f>G65-G64</f>
        <v>0</v>
      </c>
      <c r="H66" s="116">
        <f>H65-H64</f>
        <v>0</v>
      </c>
    </row>
    <row r="67" spans="1:8" ht="15" customHeight="1" x14ac:dyDescent="0.35">
      <c r="A67" s="55"/>
      <c r="B67" s="54" t="s">
        <v>119</v>
      </c>
      <c r="C67" s="171"/>
      <c r="D67" s="132"/>
      <c r="E67" s="43"/>
      <c r="F67" s="54" t="s">
        <v>119</v>
      </c>
      <c r="G67" s="171"/>
      <c r="H67" s="132"/>
    </row>
    <row r="68" spans="1:8" ht="15" customHeight="1" x14ac:dyDescent="0.35">
      <c r="A68" s="55"/>
      <c r="B68" s="54" t="s">
        <v>120</v>
      </c>
      <c r="C68" s="171"/>
      <c r="D68" s="132"/>
      <c r="E68" s="43"/>
      <c r="F68" s="54" t="s">
        <v>120</v>
      </c>
      <c r="G68" s="171"/>
      <c r="H68" s="132"/>
    </row>
    <row r="69" spans="1:8" ht="15" customHeight="1" x14ac:dyDescent="0.35">
      <c r="A69" s="55"/>
      <c r="B69" s="54" t="s">
        <v>121</v>
      </c>
      <c r="C69" s="98"/>
      <c r="D69" s="144"/>
      <c r="E69" s="43"/>
      <c r="F69" s="54" t="s">
        <v>121</v>
      </c>
      <c r="G69" s="98"/>
      <c r="H69" s="144"/>
    </row>
    <row r="70" spans="1:8" ht="15" customHeight="1" x14ac:dyDescent="0.35">
      <c r="A70" s="55"/>
      <c r="B70" s="54" t="s">
        <v>92</v>
      </c>
      <c r="C70" s="81" t="s">
        <v>104</v>
      </c>
      <c r="D70" s="145" t="s">
        <v>104</v>
      </c>
      <c r="E70" s="43"/>
      <c r="F70" s="54" t="s">
        <v>92</v>
      </c>
      <c r="G70" s="81" t="s">
        <v>104</v>
      </c>
      <c r="H70" s="145" t="s">
        <v>104</v>
      </c>
    </row>
    <row r="71" spans="1:8" ht="15" customHeight="1" x14ac:dyDescent="0.35">
      <c r="A71" s="55"/>
      <c r="B71" s="54" t="s">
        <v>98</v>
      </c>
      <c r="C71" s="82"/>
      <c r="D71" s="145"/>
      <c r="E71" s="43"/>
      <c r="F71" s="54" t="s">
        <v>98</v>
      </c>
      <c r="G71" s="82"/>
      <c r="H71" s="145"/>
    </row>
    <row r="72" spans="1:8" ht="15" customHeight="1" x14ac:dyDescent="0.35">
      <c r="A72" s="55"/>
      <c r="B72" s="54" t="s">
        <v>94</v>
      </c>
      <c r="C72" s="82"/>
      <c r="D72" s="145"/>
      <c r="E72" s="43"/>
      <c r="F72" s="54" t="s">
        <v>94</v>
      </c>
      <c r="G72" s="82"/>
      <c r="H72" s="145"/>
    </row>
    <row r="73" spans="1:8" ht="15" customHeight="1" x14ac:dyDescent="0.35">
      <c r="A73" s="55"/>
      <c r="B73" s="54" t="s">
        <v>96</v>
      </c>
      <c r="C73" s="82"/>
      <c r="D73" s="146"/>
      <c r="E73" s="43"/>
      <c r="F73" s="54" t="s">
        <v>96</v>
      </c>
      <c r="G73" s="82"/>
      <c r="H73" s="146"/>
    </row>
    <row r="74" spans="1:8" ht="15" customHeight="1" x14ac:dyDescent="0.35">
      <c r="A74" s="55"/>
      <c r="B74" s="77" t="s">
        <v>100</v>
      </c>
      <c r="C74" s="83" t="s">
        <v>104</v>
      </c>
      <c r="D74" s="188" t="s">
        <v>104</v>
      </c>
      <c r="E74" s="43"/>
      <c r="F74" s="77" t="s">
        <v>100</v>
      </c>
      <c r="G74" s="83" t="s">
        <v>104</v>
      </c>
      <c r="H74" s="188" t="s">
        <v>104</v>
      </c>
    </row>
    <row r="75" spans="1:8" ht="15" customHeight="1" x14ac:dyDescent="0.35"/>
    <row r="76" spans="1:8" ht="15" customHeight="1" x14ac:dyDescent="0.35"/>
    <row r="77" spans="1:8" ht="15" customHeight="1" x14ac:dyDescent="0.35"/>
    <row r="78" spans="1:8" ht="15" customHeight="1" x14ac:dyDescent="0.35">
      <c r="B78" s="239" t="s">
        <v>124</v>
      </c>
      <c r="C78" s="250"/>
    </row>
    <row r="79" spans="1:8" ht="15" customHeight="1" x14ac:dyDescent="0.35">
      <c r="B79" s="21" t="s">
        <v>125</v>
      </c>
      <c r="C79" s="20"/>
    </row>
    <row r="80" spans="1:8" ht="15" customHeight="1" x14ac:dyDescent="0.35">
      <c r="B80" s="21" t="s">
        <v>126</v>
      </c>
      <c r="C80" s="20"/>
    </row>
    <row r="81" spans="2:3" ht="15" customHeight="1" x14ac:dyDescent="0.35">
      <c r="B81" s="21" t="s">
        <v>127</v>
      </c>
      <c r="C81" s="22"/>
    </row>
    <row r="82" spans="2:3" ht="15" customHeight="1" x14ac:dyDescent="0.35">
      <c r="B82" s="21" t="s">
        <v>128</v>
      </c>
      <c r="C82" s="22"/>
    </row>
    <row r="83" spans="2:3" ht="15" customHeight="1" x14ac:dyDescent="0.35">
      <c r="B83" s="23" t="s">
        <v>129</v>
      </c>
      <c r="C83" s="24"/>
    </row>
    <row r="130" spans="2:7" hidden="1" x14ac:dyDescent="0.35"/>
    <row r="131" spans="2:7" hidden="1" x14ac:dyDescent="0.35"/>
    <row r="132" spans="2:7" hidden="1" x14ac:dyDescent="0.35"/>
    <row r="133" spans="2:7" hidden="1" x14ac:dyDescent="0.35">
      <c r="B133" s="29" t="s">
        <v>130</v>
      </c>
      <c r="C133" s="196">
        <f>_xlfn.IFNA(VLOOKUP($C$53,MeasureConfidence[[#All],[Measure Confidence Level]:[Confidence Score]],2,FALSE),0)</f>
        <v>0</v>
      </c>
      <c r="F133" s="58" t="s">
        <v>131</v>
      </c>
      <c r="G133" s="196">
        <f>_xlfn.IFNA(VLOOKUP($D$53,MeasureConfidence[[#All],[Measure Confidence Level]:[Confidence Score]],2,FALSE),0)</f>
        <v>0</v>
      </c>
    </row>
    <row r="134" spans="2:7" hidden="1" x14ac:dyDescent="0.35">
      <c r="B134" s="29" t="s">
        <v>132</v>
      </c>
      <c r="C134" s="196">
        <f>_xlfn.IFNA(VLOOKUP($G$53,MeasureConfidence[[#All],[Measure Confidence Level]:[Confidence Score]],2,FALSE),0)</f>
        <v>0</v>
      </c>
      <c r="F134" s="58" t="s">
        <v>133</v>
      </c>
      <c r="G134" s="196">
        <f>_xlfn.IFNA(VLOOKUP($H$53,MeasureConfidence[[#All],[Measure Confidence Level]:[Confidence Score]],2,FALSE),0)</f>
        <v>0</v>
      </c>
    </row>
    <row r="135" spans="2:7" hidden="1" x14ac:dyDescent="0.35">
      <c r="B135" s="29" t="s">
        <v>134</v>
      </c>
      <c r="C135" s="196">
        <f>_xlfn.IFNA(VLOOKUP($C$74,MeasureConfidence[[#All],[Measure Confidence Level]:[Confidence Score]],2,FALSE),0)</f>
        <v>0</v>
      </c>
      <c r="F135" s="58" t="s">
        <v>135</v>
      </c>
      <c r="G135" s="196">
        <f>_xlfn.IFNA(VLOOKUP($D$74,MeasureConfidence[[#All],[Measure Confidence Level]:[Confidence Score]],2,FALSE),0)</f>
        <v>0</v>
      </c>
    </row>
    <row r="136" spans="2:7" hidden="1" x14ac:dyDescent="0.35">
      <c r="B136" s="29" t="s">
        <v>136</v>
      </c>
      <c r="C136" s="196">
        <f>_xlfn.IFNA(VLOOKUP($G$74,MeasureConfidence[[#All],[Measure Confidence Level]:[Confidence Score]],2,FALSE),0)</f>
        <v>0</v>
      </c>
      <c r="F136" s="58" t="s">
        <v>137</v>
      </c>
      <c r="G136" s="196">
        <f>_xlfn.IFNA(VLOOKUP($H$74,MeasureConfidence[[#All],[Measure Confidence Level]:[Confidence Score]],2,FALSE),0)</f>
        <v>0</v>
      </c>
    </row>
    <row r="137" spans="2:7" hidden="1" x14ac:dyDescent="0.35">
      <c r="B137" s="29"/>
      <c r="C137" s="196"/>
      <c r="F137" s="58"/>
      <c r="G137" s="196"/>
    </row>
    <row r="138" spans="2:7" hidden="1" x14ac:dyDescent="0.35">
      <c r="B138" s="29" t="s">
        <v>138</v>
      </c>
      <c r="C138" s="196" t="e">
        <f>ROUND(AVERAGEIF(C133:C136,"&gt;0"),0)</f>
        <v>#DIV/0!</v>
      </c>
      <c r="F138" s="58" t="s">
        <v>138</v>
      </c>
      <c r="G138" s="196" t="e">
        <f>ROUND(AVERAGEIF(G133:G136,"&gt;0"),0)</f>
        <v>#DIV/0!</v>
      </c>
    </row>
    <row r="139" spans="2:7" hidden="1" x14ac:dyDescent="0.35">
      <c r="B139" s="29"/>
      <c r="C139" s="196"/>
      <c r="F139" s="58"/>
      <c r="G139" s="196"/>
    </row>
    <row r="140" spans="2:7" hidden="1" x14ac:dyDescent="0.35">
      <c r="B140" s="29" t="s">
        <v>139</v>
      </c>
      <c r="C140" s="196">
        <f>_xlfn.MINIFS(C133:C136,C133:C136,"&gt;0")</f>
        <v>0</v>
      </c>
      <c r="F140" s="58" t="s">
        <v>139</v>
      </c>
      <c r="G140" s="196">
        <f>_xlfn.MINIFS(G133:G136,G133:G136,"&gt;0")</f>
        <v>0</v>
      </c>
    </row>
    <row r="141" spans="2:7" hidden="1" x14ac:dyDescent="0.35"/>
    <row r="142" spans="2:7" hidden="1" x14ac:dyDescent="0.35"/>
    <row r="143" spans="2:7" hidden="1" x14ac:dyDescent="0.35"/>
    <row r="144" spans="2:7"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sheetData>
  <sheetProtection algorithmName="SHA-512" hashValue="KH/RS5Cl0CNMFbxQ2Tub8hJikRk2vCkDCXQFO4F+4cv45UJ7hZ0Cl+vX5bOXcVQzJyElNIgvXyI3mMHnu7YBNg==" saltValue="gupPHu6cXobxT+L/fcDYGQ==" spinCount="100000" sheet="1" formatColumns="0" formatRows="0"/>
  <dataConsolidate link="1"/>
  <mergeCells count="7">
    <mergeCell ref="G24:G25"/>
    <mergeCell ref="H24:H25"/>
    <mergeCell ref="B78:C78"/>
    <mergeCell ref="B21:B25"/>
    <mergeCell ref="C21:C25"/>
    <mergeCell ref="D21:D25"/>
    <mergeCell ref="F24:F25"/>
  </mergeCells>
  <dataValidations xWindow="626" yWindow="529" count="25">
    <dataValidation type="decimal" operator="greaterThan" allowBlank="1" showInputMessage="1" showErrorMessage="1" sqref="D43:D44 H43:H44 H64:H65 D64:D65" xr:uid="{347A58EA-DEE1-413A-B336-F0CDFD10DF28}">
      <formula1>0.0000000000001</formula1>
    </dataValidation>
    <dataValidation allowBlank="1" showInputMessage="1" showErrorMessage="1" prompt="Automatically populated when the Measure Name's cell is entered/filled" sqref="C35 G35 G56 C56" xr:uid="{F62433DA-B835-429A-A9BE-20671E5C1013}"/>
    <dataValidation type="decimal" operator="greaterThan" allowBlank="1" showInputMessage="1" showErrorMessage="1" error="Numerical value only please" prompt="Numerical value only please" sqref="C43:C44 G43:G44 G64:G65 C64:C65" xr:uid="{65C672ED-2A3C-4C5E-959D-48B2A27B0FDD}">
      <formula1>0.0000000000001</formula1>
    </dataValidation>
    <dataValidation type="date" errorStyle="warning" operator="greaterThan" allowBlank="1" showInputMessage="1" showErrorMessage="1" sqref="G21" xr:uid="{52E552FF-5B01-4485-A3C3-7B05D40FEA9E}">
      <formula1>36526</formula1>
    </dataValidation>
    <dataValidation operator="greaterThanOrEqual" allowBlank="1" showInputMessage="1" showErrorMessage="1" sqref="C40" xr:uid="{8F616F37-1985-46EB-8F32-F48313884E13}"/>
    <dataValidation allowBlank="1" showInputMessage="1" showErrorMessage="1" prompt="Automatically populated based on the latest Realisation End Date of the Measure/KPI date." sqref="G29" xr:uid="{559452E7-BBF6-4ED5-BDA6-FABCB4F06BC7}"/>
    <dataValidation allowBlank="1" showInputMessage="1" showErrorMessage="1" prompt="Automatically populated based on the earliest Realisation Start Date of the Measure/KPI date." sqref="G28" xr:uid="{BFEFDB54-176F-421A-AD3F-2C10529D0EAF}"/>
    <dataValidation allowBlank="1" showInputMessage="1" showErrorMessage="1" prompt="Automatically calculated based on the lowest Benefit Confidence Level of the Measures/KPIs." sqref="G30" xr:uid="{26F20BEE-E46C-4798-8660-33F2B3C696DD}"/>
    <dataValidation type="decimal" allowBlank="1" showInputMessage="1" showErrorMessage="1" sqref="C48 G48 C69 G69" xr:uid="{495B6A0C-2261-4E40-9ADB-D48155D57E85}">
      <formula1>0</formula1>
      <formula2>1</formula2>
    </dataValidation>
    <dataValidation type="decimal" errorStyle="warning" allowBlank="1" showInputMessage="1" showErrorMessage="1" sqref="H48 D69 D48 H69" xr:uid="{5B59710B-4E60-4C48-9366-D6E120AE172F}">
      <formula1>0</formula1>
      <formula2>1</formula2>
    </dataValidation>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6:D47 C79:C80 C42:D42 G67:H68 G46:H47 C67:D68 G42:H42 G63:H63 C63:D63" xr:uid="{C6DE7134-0D23-420E-A4A8-4CD19DFC89E4}">
      <formula1>1</formula1>
    </dataValidation>
    <dataValidation type="date" operator="greaterThan" allowBlank="1" showInputMessage="1" showErrorMessage="1" sqref="G23" xr:uid="{4C8D51AC-F387-47D5-9FC7-E6A34812404F}">
      <formula1>36526</formula1>
    </dataValidation>
    <dataValidation errorStyle="information" allowBlank="1" showInputMessage="1" showErrorMessage="1" sqref="G22" xr:uid="{B22A3949-8653-45BE-92A2-F2E9BDB47C16}"/>
    <dataValidation allowBlank="1" showInputMessage="1" showErrorMessage="1" prompt="DTA numbering system. Automatically populated when the DTA Investment ID is filled." sqref="C18" xr:uid="{436C95B9-F8F0-49BC-9252-0CA45E0ED974}"/>
    <dataValidation allowBlank="1" showInputMessage="1" showErrorMessage="1" prompt="Benefit Endorsement fields will be automatically filled from Benefit Profile 1, except for date fields. _x000a_Please change if different." sqref="G18" xr:uid="{D5663BAD-2F70-463F-802A-D37C1CDB0DAB}"/>
    <dataValidation type="list" allowBlank="1" showInputMessage="1" showErrorMessage="1" sqref="C29" xr:uid="{05A2ABC7-0CD6-4081-AE9B-D7AB9BC63809}">
      <formula1>"Please select, Benefit, Disbenefit"</formula1>
    </dataValidation>
    <dataValidation type="list" allowBlank="1" showInputMessage="1" showErrorMessage="1" sqref="C28" xr:uid="{27F8A140-1DB0-49AE-8762-10B10EBC34DE}">
      <formula1>"Please select, Financial - Cashable, Financial - Non-Cashable, Non-financial"</formula1>
    </dataValidation>
    <dataValidation type="list" allowBlank="1" showInputMessage="1" showErrorMessage="1" sqref="C32" xr:uid="{F793D34B-8CCA-4D8D-8AC1-770BAF9094B3}">
      <formula1>"Please select, Data and digital foundations, Delivering for all people and business, Government for the future, Simple and seamless services, Trusted and secure"</formula1>
    </dataValidation>
    <dataValidation type="list" allowBlank="1" showInputMessage="1" showErrorMessage="1" sqref="C31" xr:uid="{8FF8F8F5-B63D-4B7F-84D8-FA2C11608E15}">
      <formula1>"Please select, Agency, Business, Citizen, Government"</formula1>
    </dataValidation>
    <dataValidation type="list" allowBlank="1" showInputMessage="1" showErrorMessage="1" sqref="C49 G49 C70 G70" xr:uid="{37AA5D79-49C6-438C-8938-96BA2361049A}">
      <formula1>"Please select, Weekly, Fortnightly, In planning, Monthly, Quarterly, Biannually, Year (calendar), Year (financial)"</formula1>
    </dataValidation>
    <dataValidation type="decimal" errorStyle="information" operator="lessThan" allowBlank="1" showInputMessage="1" showErrorMessage="1" error="Numerical value only please" prompt="Numerical value only please" sqref="C45:D45 C66:D66 G66:H66" xr:uid="{82EB60FF-0CC4-4B08-9217-B4AEF43F3AC9}">
      <formula1>0</formula1>
    </dataValidation>
    <dataValidation type="list" operator="greaterThanOrEqual" allowBlank="1" showInputMessage="1" showErrorMessage="1" sqref="C41:D41" xr:uid="{0177C4EE-396C-4E68-8E18-02ACA739739D}">
      <formula1>"Please select, Increase, Decrease"</formula1>
    </dataValidation>
    <dataValidation type="list" allowBlank="1" showInputMessage="1" showErrorMessage="1" sqref="G41:H41 C62:D62 G62:H62" xr:uid="{75ADF892-5D6C-4539-862A-7E8ADA6F0FD6}">
      <formula1>"Please select, Increase, Decrease"</formula1>
    </dataValidation>
    <dataValidation type="decimal" errorStyle="information" operator="greaterThan" allowBlank="1" showInputMessage="1" showErrorMessage="1" error="Numerical value only please" prompt="Numerical value only please" sqref="G45:H45" xr:uid="{7A210E7B-B9C5-4824-9B88-45A486FFBE6B}">
      <formula1>0</formula1>
    </dataValidation>
    <dataValidation allowBlank="1" showInputMessage="1" showErrorMessage="1" prompt="Investment Details - automatically filled from Benefit Profile 1." sqref="C10" xr:uid="{1E140D1D-1831-4112-878F-5C364BFD8673}"/>
  </dataValidations>
  <printOptions horizontalCentered="1"/>
  <pageMargins left="0" right="0" top="0.74803149606299213" bottom="0.35433070866141736" header="0.31496062992125984" footer="0.31496062992125984"/>
  <pageSetup paperSize="9" scale="71" orientation="portrait" r:id="rId1"/>
  <ignoredErrors>
    <ignoredError sqref="C12:C14 G18:H25" unlockedFormula="1"/>
  </ignoredErrors>
  <drawing r:id="rId2"/>
  <extLst>
    <ext xmlns:x14="http://schemas.microsoft.com/office/spreadsheetml/2009/9/main" uri="{CCE6A557-97BC-4b89-ADB6-D9C93CAAB3DF}">
      <x14:dataValidations xmlns:xm="http://schemas.microsoft.com/office/excel/2006/main" xWindow="626" yWindow="529" count="9">
        <x14:dataValidation type="list" allowBlank="1" showInputMessage="1" showErrorMessage="1" xr:uid="{F250913F-7201-4E69-A47B-400521B48F4C}">
          <x14:formula1>
            <xm:f>'0. PortfolioAgencyLinks'!$T$1:$T$193</xm:f>
          </x14:formula1>
          <xm:sqref>C13:C14</xm:sqref>
        </x14:dataValidation>
        <x14:dataValidation type="list" allowBlank="1" showInputMessage="1" showErrorMessage="1" xr:uid="{E499729B-ECB7-404E-811C-994E47BA6BFF}">
          <x14:formula1>
            <xm:f>'Validation Table'!$D$3:$D$7</xm:f>
          </x14:formula1>
          <xm:sqref>D29</xm:sqref>
        </x14:dataValidation>
        <x14:dataValidation type="list" allowBlank="1" showInputMessage="1" showErrorMessage="1" xr:uid="{329FE2B1-1FB6-4918-B9F0-D4D65F3BA386}">
          <x14:formula1>
            <xm:f>'Validation Table'!$H$3:$H$11</xm:f>
          </x14:formula1>
          <xm:sqref>D70 H49 D49 H70</xm:sqref>
        </x14:dataValidation>
        <x14:dataValidation type="list" allowBlank="1" showInputMessage="1" showErrorMessage="1" xr:uid="{1E8D77DC-E093-4A7B-8F22-1726A4293467}">
          <x14:formula1>
            <xm:f>'Validation Table'!$F$3:$F$8</xm:f>
          </x14:formula1>
          <xm:sqref>D32</xm:sqref>
        </x14:dataValidation>
        <x14:dataValidation type="list" allowBlank="1" showInputMessage="1" showErrorMessage="1" xr:uid="{98376698-132F-4199-B1FA-968E1DBCE74D}">
          <x14:formula1>
            <xm:f>'Validation Table'!$E$3:$E$7</xm:f>
          </x14:formula1>
          <xm:sqref>D31</xm:sqref>
        </x14:dataValidation>
        <x14:dataValidation type="list" allowBlank="1" showInputMessage="1" showErrorMessage="1" xr:uid="{570B86BD-664A-428E-8470-300CAEAAF3EC}">
          <x14:formula1>
            <xm:f>'Validation Table'!$C$3:$C$17</xm:f>
          </x14:formula1>
          <xm:sqref>C30:D30</xm:sqref>
        </x14:dataValidation>
        <x14:dataValidation type="list" allowBlank="1" showInputMessage="1" showErrorMessage="1" xr:uid="{F8466151-5F4F-4DFC-8279-874AD090C289}">
          <x14:formula1>
            <xm:f>'Validation Table'!$B$3:$B$6</xm:f>
          </x14:formula1>
          <xm:sqref>D28</xm:sqref>
        </x14:dataValidation>
        <x14:dataValidation type="list" allowBlank="1" showInputMessage="1" showErrorMessage="1" xr:uid="{8A1F1CE6-D3C8-4549-9F28-78B290A5B19A}">
          <x14:formula1>
            <xm:f>'Validation Table'!$I$3:$I$8</xm:f>
          </x14:formula1>
          <xm:sqref>C53:D53 G53:H53 C74:D74 G74:H74</xm:sqref>
        </x14:dataValidation>
        <x14:dataValidation type="list" allowBlank="1" showInputMessage="1" showErrorMessage="1" prompt="Agency fields will be automatically filled from Benefit Profile 1. Please change if different." xr:uid="{0981B9EA-4ADA-4260-9177-064C335E4AA3}">
          <x14:formula1>
            <xm:f>'0. PortfolioAgencyLinks'!$T$1:$T$193</xm:f>
          </x14:formula1>
          <xm:sqref>C12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C5FDA-58B5-45CD-A3C7-DFAD8F13CBB1}">
  <sheetPr>
    <tabColor rgb="FFC8EBD7"/>
    <pageSetUpPr fitToPage="1"/>
  </sheetPr>
  <dimension ref="A1:O146"/>
  <sheetViews>
    <sheetView zoomScale="90" zoomScaleNormal="90" workbookViewId="0">
      <selection activeCell="C10" sqref="C10"/>
    </sheetView>
  </sheetViews>
  <sheetFormatPr defaultColWidth="9.1796875" defaultRowHeight="14.5" outlineLevelCol="1" x14ac:dyDescent="0.35"/>
  <cols>
    <col min="1" max="1" width="2" style="3" customWidth="1"/>
    <col min="2" max="3" width="45.7265625" style="3" customWidth="1"/>
    <col min="4" max="4" width="45.7265625" style="55" hidden="1" customWidth="1" outlineLevel="1"/>
    <col min="5" max="5" width="5.7265625" style="3" customWidth="1" collapsed="1"/>
    <col min="6" max="6" width="45.7265625" style="55" customWidth="1"/>
    <col min="7" max="7" width="45.7265625" style="3" customWidth="1"/>
    <col min="8" max="8" width="45.7265625" style="55"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42"/>
      <c r="D1" s="42"/>
      <c r="E1" s="42"/>
      <c r="F1" s="42"/>
      <c r="G1" s="42"/>
      <c r="H1" s="42"/>
    </row>
    <row r="2" spans="1:15" x14ac:dyDescent="0.35">
      <c r="A2" s="42"/>
      <c r="B2" s="42"/>
      <c r="C2" s="42"/>
      <c r="D2" s="42"/>
      <c r="E2" s="42"/>
      <c r="F2" s="42"/>
      <c r="G2" s="42"/>
      <c r="H2" s="42"/>
    </row>
    <row r="3" spans="1:15" x14ac:dyDescent="0.35">
      <c r="A3" s="42"/>
      <c r="B3" s="42"/>
      <c r="C3" s="42"/>
      <c r="D3" s="42"/>
      <c r="E3" s="42"/>
      <c r="F3" s="42"/>
      <c r="G3" s="42"/>
      <c r="H3" s="42"/>
    </row>
    <row r="4" spans="1:15" ht="42" customHeight="1" x14ac:dyDescent="0.35">
      <c r="A4" s="42"/>
      <c r="B4" s="42"/>
      <c r="C4" s="42"/>
      <c r="D4" s="42"/>
      <c r="E4" s="42"/>
      <c r="F4" s="42"/>
      <c r="G4" s="42"/>
      <c r="H4" s="42"/>
    </row>
    <row r="5" spans="1:15" ht="46" x14ac:dyDescent="0.35">
      <c r="A5" s="42"/>
      <c r="B5" s="204" t="s">
        <v>202</v>
      </c>
      <c r="C5" s="57"/>
      <c r="D5" s="152"/>
      <c r="E5" s="56"/>
      <c r="F5" s="56"/>
      <c r="G5" s="42"/>
      <c r="H5" s="42"/>
    </row>
    <row r="6" spans="1:15" x14ac:dyDescent="0.35">
      <c r="A6" s="42"/>
      <c r="B6" s="42"/>
      <c r="C6" s="42"/>
      <c r="D6" s="42"/>
      <c r="E6" s="42"/>
      <c r="F6" s="42"/>
      <c r="G6" s="42"/>
      <c r="H6" s="42"/>
    </row>
    <row r="7" spans="1:15" ht="15" customHeight="1" x14ac:dyDescent="0.35">
      <c r="A7" s="42"/>
      <c r="B7" s="56"/>
      <c r="C7" s="152"/>
      <c r="D7" s="153"/>
      <c r="E7" s="43"/>
      <c r="F7" s="43"/>
      <c r="G7" s="147"/>
      <c r="H7" s="147"/>
    </row>
    <row r="8" spans="1:15" ht="15" customHeight="1" x14ac:dyDescent="0.35">
      <c r="A8" s="42"/>
      <c r="B8" s="42"/>
      <c r="C8" s="147"/>
      <c r="D8" s="147"/>
      <c r="E8" s="43"/>
      <c r="F8" s="43"/>
      <c r="G8" s="147"/>
      <c r="H8" s="147"/>
    </row>
    <row r="9" spans="1:15" s="4" customFormat="1" ht="15" customHeight="1" x14ac:dyDescent="0.35">
      <c r="A9" s="44"/>
      <c r="B9" s="45" t="s">
        <v>103</v>
      </c>
      <c r="C9" s="199"/>
      <c r="D9" s="147"/>
      <c r="E9" s="43"/>
      <c r="F9" s="43"/>
      <c r="G9" s="147"/>
      <c r="H9" s="147"/>
      <c r="J9" s="3"/>
      <c r="K9" s="3"/>
      <c r="L9" s="3"/>
      <c r="M9" s="3"/>
      <c r="N9" s="3"/>
      <c r="O9" s="3"/>
    </row>
    <row r="10" spans="1:15" ht="15" customHeight="1" x14ac:dyDescent="0.35">
      <c r="A10" s="42"/>
      <c r="B10" s="88" t="s">
        <v>29</v>
      </c>
      <c r="C10" s="92">
        <f>'Benefit Profile 1'!$C$10</f>
        <v>0</v>
      </c>
      <c r="D10" s="147"/>
      <c r="E10" s="43"/>
      <c r="F10" s="43"/>
      <c r="G10" s="147"/>
      <c r="H10" s="147"/>
    </row>
    <row r="11" spans="1:15" ht="15" customHeight="1" x14ac:dyDescent="0.35">
      <c r="A11" s="42"/>
      <c r="B11" s="90" t="s">
        <v>30</v>
      </c>
      <c r="C11" s="92">
        <f>'Benefit Profile 1'!$C$11</f>
        <v>0</v>
      </c>
      <c r="D11" s="147"/>
      <c r="E11" s="43"/>
      <c r="F11" s="43"/>
      <c r="G11" s="147"/>
      <c r="H11" s="147"/>
    </row>
    <row r="12" spans="1:15" ht="15" customHeight="1" x14ac:dyDescent="0.35">
      <c r="A12" s="42"/>
      <c r="B12" s="90" t="s">
        <v>31</v>
      </c>
      <c r="C12" s="97" t="str">
        <f>'Benefit Profile 1'!$C$12</f>
        <v>Please select</v>
      </c>
      <c r="D12" s="147"/>
      <c r="E12" s="43"/>
      <c r="F12" s="43"/>
      <c r="G12" s="147"/>
      <c r="H12" s="147"/>
    </row>
    <row r="13" spans="1:15" ht="15" customHeight="1" x14ac:dyDescent="0.35">
      <c r="A13" s="42"/>
      <c r="B13" s="90" t="s">
        <v>33</v>
      </c>
      <c r="C13" s="97" t="str">
        <f>'Benefit Profile 1'!$C$13</f>
        <v>Please select</v>
      </c>
      <c r="D13" s="147"/>
      <c r="E13" s="43"/>
      <c r="F13" s="43"/>
      <c r="G13" s="147"/>
      <c r="H13" s="147"/>
    </row>
    <row r="14" spans="1:15" ht="30" customHeight="1" x14ac:dyDescent="0.35">
      <c r="A14" s="42"/>
      <c r="B14" s="91" t="s">
        <v>105</v>
      </c>
      <c r="C14" s="97" t="str">
        <f>'Benefit Profile 1'!$C$14</f>
        <v>Please select</v>
      </c>
      <c r="D14" s="147"/>
      <c r="E14" s="43"/>
      <c r="F14" s="43"/>
      <c r="G14" s="147"/>
      <c r="H14" s="147"/>
    </row>
    <row r="15" spans="1:15" ht="15" customHeight="1" x14ac:dyDescent="0.35">
      <c r="A15" s="42"/>
      <c r="B15" s="43"/>
      <c r="C15" s="147"/>
      <c r="D15" s="147"/>
      <c r="E15" s="43"/>
      <c r="F15" s="43"/>
      <c r="G15" s="147"/>
      <c r="H15" s="147"/>
    </row>
    <row r="16" spans="1:15" ht="15" customHeight="1" x14ac:dyDescent="0.35">
      <c r="A16" s="42"/>
      <c r="B16" s="43"/>
      <c r="C16" s="147"/>
      <c r="D16" s="147"/>
      <c r="E16" s="43"/>
      <c r="F16" s="43"/>
      <c r="G16" s="147"/>
      <c r="H16" s="147"/>
    </row>
    <row r="17" spans="1:15" s="4" customFormat="1" ht="15" customHeight="1" x14ac:dyDescent="0.35">
      <c r="A17" s="44"/>
      <c r="B17" s="47" t="s">
        <v>42</v>
      </c>
      <c r="C17" s="195"/>
      <c r="D17" s="154" t="s">
        <v>106</v>
      </c>
      <c r="E17" s="49"/>
      <c r="F17" s="47" t="s">
        <v>107</v>
      </c>
      <c r="G17" s="195"/>
      <c r="H17" s="148" t="s">
        <v>106</v>
      </c>
      <c r="J17" s="3"/>
      <c r="K17" s="3"/>
      <c r="L17" s="3"/>
      <c r="M17" s="3"/>
      <c r="N17" s="3"/>
      <c r="O17" s="3"/>
    </row>
    <row r="18" spans="1:15" s="30" customFormat="1" ht="15" customHeight="1" x14ac:dyDescent="0.35">
      <c r="A18" s="50"/>
      <c r="B18" s="54" t="s">
        <v>38</v>
      </c>
      <c r="C18" s="76" t="str">
        <f>IF(AND(LEFT(C10, 4)="INV-", ISNUMBER(VALUE(MID(C10, 5, LEN(C10)-4)))), C10 &amp; "-" &amp; VLOOKUP("Benefit Profile 9", BenefitNumbering[#All], 2, FALSE), "")</f>
        <v/>
      </c>
      <c r="D18" s="76" t="str">
        <f>IF(AND(LEFT(C10, 4)="INV-", ISNUMBER(VALUE(MID(C10, 5, LEN(C10)-4)))), C10 &amp; "-" &amp; VLOOKUP("Benefit Profile 9", BenefitNumberingVar[#All], 2, FALSE), "")</f>
        <v/>
      </c>
      <c r="E18" s="51"/>
      <c r="F18" s="54" t="s">
        <v>108</v>
      </c>
      <c r="G18" s="118">
        <f>'Benefit Profile 1'!$G$18</f>
        <v>0</v>
      </c>
      <c r="H18" s="197">
        <f>'Benefit Profile 1'!$H$18</f>
        <v>0</v>
      </c>
      <c r="J18" s="3"/>
      <c r="K18" s="3"/>
      <c r="L18" s="3"/>
      <c r="M18" s="3"/>
      <c r="N18" s="3"/>
      <c r="O18" s="3"/>
    </row>
    <row r="19" spans="1:15" ht="15" customHeight="1" x14ac:dyDescent="0.35">
      <c r="A19" s="42"/>
      <c r="B19" s="85" t="s">
        <v>109</v>
      </c>
      <c r="C19" s="41"/>
      <c r="D19" s="150"/>
      <c r="E19" s="43"/>
      <c r="F19" s="86" t="s">
        <v>110</v>
      </c>
      <c r="G19" s="118">
        <f>'Benefit Profile 1'!$G$19</f>
        <v>0</v>
      </c>
      <c r="H19" s="197">
        <f>'Benefit Profile 1'!$H$19</f>
        <v>0</v>
      </c>
    </row>
    <row r="20" spans="1:15" ht="15" customHeight="1" x14ac:dyDescent="0.35">
      <c r="A20" s="42"/>
      <c r="B20" s="85" t="s">
        <v>41</v>
      </c>
      <c r="C20" s="41"/>
      <c r="D20" s="150"/>
      <c r="E20" s="43"/>
      <c r="F20" s="86" t="s">
        <v>46</v>
      </c>
      <c r="G20" s="118">
        <f>'Benefit Profile 1'!$G$20</f>
        <v>0</v>
      </c>
      <c r="H20" s="197">
        <f>'Benefit Profile 1'!$H$20</f>
        <v>0</v>
      </c>
    </row>
    <row r="21" spans="1:15" ht="15" customHeight="1" x14ac:dyDescent="0.35">
      <c r="A21" s="42"/>
      <c r="B21" s="242" t="s">
        <v>42</v>
      </c>
      <c r="C21" s="241"/>
      <c r="D21" s="233"/>
      <c r="E21" s="43"/>
      <c r="F21" s="86" t="s">
        <v>111</v>
      </c>
      <c r="G21" s="99"/>
      <c r="H21" s="170"/>
    </row>
    <row r="22" spans="1:15" ht="15" customHeight="1" x14ac:dyDescent="0.35">
      <c r="A22" s="42"/>
      <c r="B22" s="243"/>
      <c r="C22" s="241"/>
      <c r="D22" s="235"/>
      <c r="E22" s="43"/>
      <c r="F22" s="86" t="s">
        <v>112</v>
      </c>
      <c r="G22" s="97">
        <f>'Benefit Profile 1'!$G$22</f>
        <v>0</v>
      </c>
      <c r="H22" s="97">
        <f>'Benefit Profile 1'!$H$22</f>
        <v>0</v>
      </c>
    </row>
    <row r="23" spans="1:15" ht="15" customHeight="1" x14ac:dyDescent="0.35">
      <c r="A23" s="42"/>
      <c r="B23" s="243"/>
      <c r="C23" s="241"/>
      <c r="D23" s="235"/>
      <c r="E23" s="43"/>
      <c r="F23" s="86" t="s">
        <v>113</v>
      </c>
      <c r="G23" s="99"/>
      <c r="H23" s="170"/>
    </row>
    <row r="24" spans="1:15" ht="15" customHeight="1" x14ac:dyDescent="0.35">
      <c r="A24" s="42"/>
      <c r="B24" s="243"/>
      <c r="C24" s="241"/>
      <c r="D24" s="235"/>
      <c r="E24" s="43"/>
      <c r="F24" s="242" t="s">
        <v>48</v>
      </c>
      <c r="G24" s="237"/>
      <c r="H24" s="233"/>
    </row>
    <row r="25" spans="1:15" ht="15" customHeight="1" x14ac:dyDescent="0.35">
      <c r="A25" s="42"/>
      <c r="B25" s="244"/>
      <c r="C25" s="238"/>
      <c r="D25" s="236"/>
      <c r="E25" s="43"/>
      <c r="F25" s="244"/>
      <c r="G25" s="238"/>
      <c r="H25" s="236"/>
    </row>
    <row r="26" spans="1:15" s="4" customFormat="1" ht="15" customHeight="1" x14ac:dyDescent="0.35">
      <c r="A26" s="44"/>
      <c r="B26" s="52"/>
      <c r="C26" s="147"/>
      <c r="D26" s="147"/>
      <c r="E26" s="43"/>
      <c r="F26" s="43"/>
      <c r="G26" s="147"/>
      <c r="H26" s="151"/>
      <c r="J26" s="3"/>
      <c r="K26" s="3"/>
      <c r="L26" s="3"/>
      <c r="M26" s="3"/>
      <c r="N26" s="3"/>
      <c r="O26" s="3"/>
    </row>
    <row r="27" spans="1:15" ht="15" customHeight="1" x14ac:dyDescent="0.35">
      <c r="A27" s="42"/>
      <c r="B27" s="47" t="s">
        <v>50</v>
      </c>
      <c r="C27" s="195"/>
      <c r="D27" s="148" t="s">
        <v>106</v>
      </c>
      <c r="E27" s="53"/>
      <c r="F27" s="47" t="s">
        <v>114</v>
      </c>
      <c r="G27" s="195"/>
      <c r="H27" s="148" t="s">
        <v>106</v>
      </c>
    </row>
    <row r="28" spans="1:15" ht="15" customHeight="1" x14ac:dyDescent="0.35">
      <c r="A28" s="42"/>
      <c r="B28" s="54" t="s">
        <v>51</v>
      </c>
      <c r="C28" s="41" t="s">
        <v>104</v>
      </c>
      <c r="D28" s="149" t="s">
        <v>104</v>
      </c>
      <c r="E28" s="43"/>
      <c r="F28" s="54" t="s">
        <v>62</v>
      </c>
      <c r="G28" s="75" t="str">
        <f>IF(AND($C$46="",$G$46="",$C$67="",$G$67=""),"",MIN($C$46,$G$46,$C$67,$G$67))</f>
        <v/>
      </c>
      <c r="H28" s="75" t="str">
        <f>IF(AND(D46="",$H$46="",$D$67="",$H$67=""),"",MIN($D$46,$H$46,$D$67,$H$67))</f>
        <v/>
      </c>
    </row>
    <row r="29" spans="1:15" ht="15" customHeight="1" x14ac:dyDescent="0.35">
      <c r="A29" s="42"/>
      <c r="B29" s="54" t="s">
        <v>53</v>
      </c>
      <c r="C29" s="41" t="s">
        <v>104</v>
      </c>
      <c r="D29" s="149" t="s">
        <v>104</v>
      </c>
      <c r="E29" s="43"/>
      <c r="F29" s="54" t="s">
        <v>64</v>
      </c>
      <c r="G29" s="75" t="str">
        <f>IF(AND($C$47="",$G$47="",$C$68="",$G$68=""),"",MAX($C$47,$G$47,$C$68,$G$68))</f>
        <v/>
      </c>
      <c r="H29" s="75" t="str">
        <f>IF(AND($D$47="",$H$47="",$D$68="",$H$68=""),"",MAX($D$47,$H$47,$D$68,$H$68))</f>
        <v/>
      </c>
    </row>
    <row r="30" spans="1:15" ht="15" customHeight="1" x14ac:dyDescent="0.35">
      <c r="A30" s="42"/>
      <c r="B30" s="54" t="s">
        <v>55</v>
      </c>
      <c r="C30" s="41" t="s">
        <v>104</v>
      </c>
      <c r="D30" s="149" t="s">
        <v>104</v>
      </c>
      <c r="E30" s="43"/>
      <c r="F30" s="119" t="s">
        <v>66</v>
      </c>
      <c r="G30" s="120" t="str">
        <f>IF(VLOOKUP($C$140,MeasureConfidence[[#All],[Confidence Score]:[Cross Ref]],2,FALSE)=0,"",VLOOKUP($C$140,MeasureConfidence[[#All],[Confidence Score]:[Cross Ref]],2,FALSE))</f>
        <v/>
      </c>
      <c r="H30" s="120" t="str">
        <f>IF(VLOOKUP($G$140,MeasureConfidence[[#All],[Confidence Score]:[Cross Ref]],2,FALSE)=0,"",VLOOKUP($G$140,MeasureConfidence[[#All],[Confidence Score]:[Cross Ref]],2,FALSE))</f>
        <v/>
      </c>
    </row>
    <row r="31" spans="1:15" ht="15" customHeight="1" x14ac:dyDescent="0.35">
      <c r="A31" s="42"/>
      <c r="B31" s="54" t="s">
        <v>57</v>
      </c>
      <c r="C31" s="41" t="s">
        <v>104</v>
      </c>
      <c r="D31" s="149" t="s">
        <v>104</v>
      </c>
      <c r="E31" s="43"/>
      <c r="F31" s="43"/>
      <c r="G31" s="147"/>
      <c r="H31" s="147"/>
    </row>
    <row r="32" spans="1:15" ht="15" customHeight="1" x14ac:dyDescent="0.35">
      <c r="A32" s="42"/>
      <c r="B32" s="74" t="s">
        <v>59</v>
      </c>
      <c r="C32" s="84" t="s">
        <v>104</v>
      </c>
      <c r="D32" s="155" t="s">
        <v>104</v>
      </c>
      <c r="E32" s="43"/>
      <c r="F32" s="43"/>
      <c r="G32" s="147"/>
      <c r="H32" s="147"/>
    </row>
    <row r="33" spans="1:8" ht="15" customHeight="1" x14ac:dyDescent="0.35">
      <c r="A33" s="42"/>
      <c r="B33" s="52"/>
      <c r="C33" s="147"/>
      <c r="D33" s="147"/>
      <c r="E33" s="43"/>
      <c r="F33" s="43"/>
      <c r="G33" s="147"/>
      <c r="H33" s="147"/>
    </row>
    <row r="34" spans="1:8" ht="15" customHeight="1" x14ac:dyDescent="0.35">
      <c r="A34" s="42"/>
      <c r="B34" s="47" t="s">
        <v>115</v>
      </c>
      <c r="C34" s="195"/>
      <c r="D34" s="154" t="s">
        <v>106</v>
      </c>
      <c r="E34" s="43"/>
      <c r="F34" s="47" t="s">
        <v>116</v>
      </c>
      <c r="G34" s="195"/>
      <c r="H34" s="148" t="s">
        <v>106</v>
      </c>
    </row>
    <row r="35" spans="1:8" ht="15" customHeight="1" x14ac:dyDescent="0.35">
      <c r="A35" s="42"/>
      <c r="B35" s="54" t="s">
        <v>69</v>
      </c>
      <c r="C35" s="76" t="str">
        <f>IF(AND(LEFT($C$10, 4)="INV-", ISNUMBER(VALUE(MID($C$10, 5, LEN($C$10)-4))), $C$36&lt;&gt;""), $C$10 &amp; "-" &amp; VLOOKUP("Benefit Profile 9", BenefitNumbering[#All], 2, FALSE) &amp; "-1", "")</f>
        <v/>
      </c>
      <c r="D35" s="76" t="str">
        <f>IF(AND(LEFT($C$10, 4)="INV-", ISNUMBER(VALUE(MID($C$10, 5, LEN($C$10)-4))), $D$36&lt;&gt;""), $C$10 &amp; "-" &amp; VLOOKUP("Benefit Profile 9", BenefitNumberingVar[#All], 2, FALSE) &amp; "-1", "")</f>
        <v/>
      </c>
      <c r="E35" s="43"/>
      <c r="F35" s="54" t="s">
        <v>69</v>
      </c>
      <c r="G35" s="76" t="str">
        <f>IF(AND(LEFT($C$10, 4)="INV-", ISNUMBER(VALUE(MID($C$10, 5, LEN($C$10)-4))), $G$36&lt;&gt;""), $C$10 &amp; "-" &amp; VLOOKUP("Benefit Profile 9", BenefitNumbering[#All], 2, FALSE) &amp; "-2", "")</f>
        <v/>
      </c>
      <c r="H35" s="76" t="str">
        <f>IF(AND(LEFT($C$10, 4)="INV-", ISNUMBER(VALUE(MID($C$10, 5, LEN($C$10)-4))), $H$36&lt;&gt;""), $C$10 &amp; "-" &amp; VLOOKUP("Benefit Profile 9", BenefitNumberingVar[#All], 2, FALSE) &amp; "-2", "")</f>
        <v/>
      </c>
    </row>
    <row r="36" spans="1:8" ht="15" customHeight="1" x14ac:dyDescent="0.35">
      <c r="A36" s="42"/>
      <c r="B36" s="54" t="s">
        <v>117</v>
      </c>
      <c r="C36" s="169"/>
      <c r="D36" s="143"/>
      <c r="E36" s="43"/>
      <c r="F36" s="54" t="s">
        <v>117</v>
      </c>
      <c r="G36" s="169"/>
      <c r="H36" s="143"/>
    </row>
    <row r="37" spans="1:8" ht="15" customHeight="1" x14ac:dyDescent="0.35">
      <c r="A37" s="42"/>
      <c r="B37" s="54" t="s">
        <v>72</v>
      </c>
      <c r="C37" s="169"/>
      <c r="D37" s="143"/>
      <c r="E37" s="43"/>
      <c r="F37" s="54" t="s">
        <v>72</v>
      </c>
      <c r="G37" s="169"/>
      <c r="H37" s="143"/>
    </row>
    <row r="38" spans="1:8" ht="15" customHeight="1" x14ac:dyDescent="0.35">
      <c r="A38" s="42"/>
      <c r="B38" s="115" t="s">
        <v>74</v>
      </c>
      <c r="C38" s="169"/>
      <c r="D38" s="143"/>
      <c r="E38" s="43"/>
      <c r="F38" s="54" t="s">
        <v>74</v>
      </c>
      <c r="G38" s="169"/>
      <c r="H38" s="143"/>
    </row>
    <row r="39" spans="1:8" ht="15" customHeight="1" x14ac:dyDescent="0.35">
      <c r="A39" s="42"/>
      <c r="B39" s="54" t="s">
        <v>76</v>
      </c>
      <c r="C39" s="169"/>
      <c r="D39" s="143"/>
      <c r="E39" s="43"/>
      <c r="F39" s="54" t="s">
        <v>76</v>
      </c>
      <c r="G39" s="169"/>
      <c r="H39" s="143"/>
    </row>
    <row r="40" spans="1:8" ht="15" customHeight="1" x14ac:dyDescent="0.35">
      <c r="A40" s="42"/>
      <c r="B40" s="54" t="s">
        <v>78</v>
      </c>
      <c r="C40" s="169"/>
      <c r="D40" s="143"/>
      <c r="E40" s="43"/>
      <c r="F40" s="54" t="s">
        <v>78</v>
      </c>
      <c r="G40" s="169"/>
      <c r="H40" s="143"/>
    </row>
    <row r="41" spans="1:8" ht="15" customHeight="1" x14ac:dyDescent="0.35">
      <c r="A41" s="42"/>
      <c r="B41" s="115" t="s">
        <v>439</v>
      </c>
      <c r="C41" s="169" t="s">
        <v>104</v>
      </c>
      <c r="D41" s="143" t="s">
        <v>104</v>
      </c>
      <c r="E41" s="43"/>
      <c r="F41" s="115" t="s">
        <v>439</v>
      </c>
      <c r="G41" s="169" t="s">
        <v>104</v>
      </c>
      <c r="H41" s="143"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438</v>
      </c>
      <c r="C45" s="116">
        <f>C44-C43</f>
        <v>0</v>
      </c>
      <c r="D45" s="116">
        <f>D44-D43</f>
        <v>0</v>
      </c>
      <c r="E45" s="43"/>
      <c r="F45" s="54" t="s">
        <v>438</v>
      </c>
      <c r="G45" s="116">
        <f>G44-G43</f>
        <v>0</v>
      </c>
      <c r="H45" s="116">
        <f>H44-H43</f>
        <v>0</v>
      </c>
    </row>
    <row r="46" spans="1:8" ht="15" customHeight="1" x14ac:dyDescent="0.35">
      <c r="A46" s="42"/>
      <c r="B46" s="54" t="s">
        <v>119</v>
      </c>
      <c r="C46" s="171"/>
      <c r="D46" s="132"/>
      <c r="E46" s="43"/>
      <c r="F46" s="54" t="s">
        <v>119</v>
      </c>
      <c r="G46" s="171"/>
      <c r="H46" s="132"/>
    </row>
    <row r="47" spans="1:8" ht="15" customHeight="1" x14ac:dyDescent="0.35">
      <c r="A47" s="42"/>
      <c r="B47" s="54" t="s">
        <v>120</v>
      </c>
      <c r="C47" s="171"/>
      <c r="D47" s="132"/>
      <c r="E47" s="43"/>
      <c r="F47" s="54" t="s">
        <v>120</v>
      </c>
      <c r="G47" s="171"/>
      <c r="H47" s="132"/>
    </row>
    <row r="48" spans="1:8" ht="15" customHeight="1" x14ac:dyDescent="0.35">
      <c r="A48" s="42"/>
      <c r="B48" s="54" t="s">
        <v>121</v>
      </c>
      <c r="C48" s="98"/>
      <c r="D48" s="144"/>
      <c r="E48" s="43"/>
      <c r="F48" s="54" t="s">
        <v>121</v>
      </c>
      <c r="G48" s="98"/>
      <c r="H48" s="144"/>
    </row>
    <row r="49" spans="1:8" ht="15" customHeight="1" x14ac:dyDescent="0.35">
      <c r="A49" s="42"/>
      <c r="B49" s="54" t="s">
        <v>92</v>
      </c>
      <c r="C49" s="81" t="s">
        <v>104</v>
      </c>
      <c r="D49" s="145" t="s">
        <v>104</v>
      </c>
      <c r="E49" s="43"/>
      <c r="F49" s="54" t="s">
        <v>92</v>
      </c>
      <c r="G49" s="81" t="s">
        <v>104</v>
      </c>
      <c r="H49" s="145"/>
    </row>
    <row r="50" spans="1:8" ht="15" customHeight="1" x14ac:dyDescent="0.35">
      <c r="A50" s="42"/>
      <c r="B50" s="54" t="s">
        <v>98</v>
      </c>
      <c r="C50" s="82"/>
      <c r="D50" s="145"/>
      <c r="E50" s="43"/>
      <c r="F50" s="54" t="s">
        <v>98</v>
      </c>
      <c r="G50" s="82"/>
      <c r="H50" s="145"/>
    </row>
    <row r="51" spans="1:8" ht="15" customHeight="1" x14ac:dyDescent="0.35">
      <c r="A51" s="42"/>
      <c r="B51" s="54" t="s">
        <v>94</v>
      </c>
      <c r="C51" s="82"/>
      <c r="D51" s="145"/>
      <c r="E51" s="43"/>
      <c r="F51" s="54" t="s">
        <v>94</v>
      </c>
      <c r="G51" s="82"/>
      <c r="H51" s="145"/>
    </row>
    <row r="52" spans="1:8" ht="15" customHeight="1" x14ac:dyDescent="0.35">
      <c r="A52" s="42"/>
      <c r="B52" s="54" t="s">
        <v>96</v>
      </c>
      <c r="C52" s="82"/>
      <c r="D52" s="146"/>
      <c r="E52" s="43"/>
      <c r="F52" s="54" t="s">
        <v>96</v>
      </c>
      <c r="G52" s="82"/>
      <c r="H52" s="146"/>
    </row>
    <row r="53" spans="1:8" ht="15" customHeight="1" x14ac:dyDescent="0.35">
      <c r="A53" s="42"/>
      <c r="B53" s="77" t="s">
        <v>100</v>
      </c>
      <c r="C53" s="83" t="s">
        <v>104</v>
      </c>
      <c r="D53" s="188" t="s">
        <v>104</v>
      </c>
      <c r="E53" s="43"/>
      <c r="F53" s="77" t="s">
        <v>100</v>
      </c>
      <c r="G53" s="83" t="s">
        <v>104</v>
      </c>
      <c r="H53" s="188" t="s">
        <v>104</v>
      </c>
    </row>
    <row r="54" spans="1:8" ht="15" customHeight="1" x14ac:dyDescent="0.35">
      <c r="A54" s="42"/>
      <c r="B54" s="52"/>
      <c r="C54" s="147"/>
      <c r="D54" s="147"/>
      <c r="E54" s="43"/>
      <c r="F54" s="43"/>
      <c r="G54" s="147"/>
      <c r="H54" s="147"/>
    </row>
    <row r="55" spans="1:8" ht="15" customHeight="1" x14ac:dyDescent="0.35">
      <c r="A55" s="42"/>
      <c r="B55" s="47" t="s">
        <v>122</v>
      </c>
      <c r="C55" s="195"/>
      <c r="D55" s="148" t="s">
        <v>106</v>
      </c>
      <c r="E55" s="43"/>
      <c r="F55" s="47" t="s">
        <v>123</v>
      </c>
      <c r="G55" s="195"/>
      <c r="H55" s="148" t="s">
        <v>106</v>
      </c>
    </row>
    <row r="56" spans="1:8" ht="15" customHeight="1" x14ac:dyDescent="0.35">
      <c r="A56" s="42"/>
      <c r="B56" s="54" t="s">
        <v>69</v>
      </c>
      <c r="C56" s="76" t="str">
        <f>IF(AND(LEFT($C$10, 4)="INV-", ISNUMBER(VALUE(MID($C$10, 5, LEN($C$10)-4))), $C$57&lt;&gt;""), $C$10 &amp; "-" &amp; VLOOKUP("Benefit Profile 9", BenefitNumbering[#All], 2, FALSE) &amp; "-3", "")</f>
        <v/>
      </c>
      <c r="D56" s="76" t="str">
        <f>IF(AND(LEFT($C$10, 4)="INV-", ISNUMBER(VALUE(MID($C$10, 5, LEN($C$10)-4))), $D$57&lt;&gt;""), $C$10 &amp; "-" &amp; VLOOKUP("Benefit Profile 9", BenefitNumberingVar[#All], 2, FALSE) &amp; "-3", "")</f>
        <v/>
      </c>
      <c r="E56" s="43"/>
      <c r="F56" s="54" t="s">
        <v>69</v>
      </c>
      <c r="G56" s="76" t="str">
        <f>IF(AND(LEFT($C$10, 4)="INV-", ISNUMBER(VALUE(MID($C$10, 5, LEN($C$10)-4))), $G$57&lt;&gt;""), $C$10 &amp; "-" &amp; VLOOKUP("Benefit Profile 9", BenefitNumbering[#All], 2, FALSE) &amp; "-4", "")</f>
        <v/>
      </c>
      <c r="H56" s="76" t="str">
        <f>IF(AND(LEFT($C$10, 4)="INV-", ISNUMBER(VALUE(MID($C$10, 5, LEN($C$10)-4))), $H$57&lt;&gt;""), $C$10 &amp; "-" &amp; VLOOKUP("Benefit Profile 9", BenefitNumberingVar[#All], 2, FALSE) &amp; "-4", "")</f>
        <v/>
      </c>
    </row>
    <row r="57" spans="1:8" ht="15" customHeight="1" x14ac:dyDescent="0.35">
      <c r="A57" s="55"/>
      <c r="B57" s="54" t="s">
        <v>117</v>
      </c>
      <c r="C57" s="169"/>
      <c r="D57" s="143"/>
      <c r="E57" s="78"/>
      <c r="F57" s="54" t="s">
        <v>117</v>
      </c>
      <c r="G57" s="169"/>
      <c r="H57" s="143"/>
    </row>
    <row r="58" spans="1:8" ht="15" customHeight="1" x14ac:dyDescent="0.35">
      <c r="A58" s="55"/>
      <c r="B58" s="54" t="s">
        <v>72</v>
      </c>
      <c r="C58" s="169"/>
      <c r="D58" s="143"/>
      <c r="E58" s="43"/>
      <c r="F58" s="54" t="s">
        <v>72</v>
      </c>
      <c r="G58" s="169"/>
      <c r="H58" s="143"/>
    </row>
    <row r="59" spans="1:8" ht="15" customHeight="1" x14ac:dyDescent="0.35">
      <c r="A59" s="55"/>
      <c r="B59" s="54" t="s">
        <v>74</v>
      </c>
      <c r="C59" s="169"/>
      <c r="D59" s="143"/>
      <c r="E59" s="43"/>
      <c r="F59" s="54" t="s">
        <v>74</v>
      </c>
      <c r="G59" s="169"/>
      <c r="H59" s="143"/>
    </row>
    <row r="60" spans="1:8" ht="15" customHeight="1" x14ac:dyDescent="0.35">
      <c r="A60" s="55"/>
      <c r="B60" s="54" t="s">
        <v>76</v>
      </c>
      <c r="C60" s="169"/>
      <c r="D60" s="143"/>
      <c r="E60" s="43"/>
      <c r="F60" s="54" t="s">
        <v>76</v>
      </c>
      <c r="G60" s="169"/>
      <c r="H60" s="143"/>
    </row>
    <row r="61" spans="1:8" ht="15" customHeight="1" x14ac:dyDescent="0.35">
      <c r="A61" s="55"/>
      <c r="B61" s="54" t="s">
        <v>78</v>
      </c>
      <c r="C61" s="169"/>
      <c r="D61" s="143"/>
      <c r="E61" s="43"/>
      <c r="F61" s="54" t="s">
        <v>78</v>
      </c>
      <c r="G61" s="169"/>
      <c r="H61" s="143"/>
    </row>
    <row r="62" spans="1:8" ht="15" customHeight="1" x14ac:dyDescent="0.35">
      <c r="A62" s="55"/>
      <c r="B62" s="115" t="s">
        <v>439</v>
      </c>
      <c r="C62" s="169" t="s">
        <v>104</v>
      </c>
      <c r="D62" s="143" t="s">
        <v>104</v>
      </c>
      <c r="E62" s="43"/>
      <c r="F62" s="115" t="s">
        <v>439</v>
      </c>
      <c r="G62" s="169" t="s">
        <v>104</v>
      </c>
      <c r="H62" s="143" t="s">
        <v>104</v>
      </c>
    </row>
    <row r="63" spans="1:8" ht="15" customHeight="1" x14ac:dyDescent="0.35">
      <c r="A63" s="55"/>
      <c r="B63" s="54" t="s">
        <v>118</v>
      </c>
      <c r="C63" s="171"/>
      <c r="D63" s="132"/>
      <c r="E63" s="43"/>
      <c r="F63" s="54" t="s">
        <v>118</v>
      </c>
      <c r="G63" s="171"/>
      <c r="H63" s="132"/>
    </row>
    <row r="64" spans="1:8" ht="15" customHeight="1" x14ac:dyDescent="0.35">
      <c r="A64" s="55"/>
      <c r="B64" s="54" t="s">
        <v>82</v>
      </c>
      <c r="C64" s="157"/>
      <c r="D64" s="133"/>
      <c r="E64" s="43"/>
      <c r="F64" s="54" t="s">
        <v>82</v>
      </c>
      <c r="G64" s="157"/>
      <c r="H64" s="133"/>
    </row>
    <row r="65" spans="1:8" ht="15" customHeight="1" x14ac:dyDescent="0.35">
      <c r="A65" s="55"/>
      <c r="B65" s="54" t="s">
        <v>84</v>
      </c>
      <c r="C65" s="157"/>
      <c r="D65" s="133"/>
      <c r="E65" s="43"/>
      <c r="F65" s="54" t="s">
        <v>84</v>
      </c>
      <c r="G65" s="157"/>
      <c r="H65" s="133"/>
    </row>
    <row r="66" spans="1:8" ht="15" customHeight="1" x14ac:dyDescent="0.35">
      <c r="A66" s="55"/>
      <c r="B66" s="54" t="s">
        <v>438</v>
      </c>
      <c r="C66" s="116">
        <f>C65-C64</f>
        <v>0</v>
      </c>
      <c r="D66" s="116">
        <f>D65-D64</f>
        <v>0</v>
      </c>
      <c r="E66" s="43"/>
      <c r="F66" s="54" t="s">
        <v>438</v>
      </c>
      <c r="G66" s="116">
        <f>G65-G64</f>
        <v>0</v>
      </c>
      <c r="H66" s="116">
        <f>H65-H64</f>
        <v>0</v>
      </c>
    </row>
    <row r="67" spans="1:8" ht="15" customHeight="1" x14ac:dyDescent="0.35">
      <c r="A67" s="55"/>
      <c r="B67" s="54" t="s">
        <v>119</v>
      </c>
      <c r="C67" s="171"/>
      <c r="D67" s="132"/>
      <c r="E67" s="43"/>
      <c r="F67" s="54" t="s">
        <v>119</v>
      </c>
      <c r="G67" s="171"/>
      <c r="H67" s="132"/>
    </row>
    <row r="68" spans="1:8" ht="15" customHeight="1" x14ac:dyDescent="0.35">
      <c r="A68" s="55"/>
      <c r="B68" s="54" t="s">
        <v>120</v>
      </c>
      <c r="C68" s="171"/>
      <c r="D68" s="132"/>
      <c r="E68" s="43"/>
      <c r="F68" s="54" t="s">
        <v>120</v>
      </c>
      <c r="G68" s="171"/>
      <c r="H68" s="132"/>
    </row>
    <row r="69" spans="1:8" ht="15" customHeight="1" x14ac:dyDescent="0.35">
      <c r="A69" s="55"/>
      <c r="B69" s="54" t="s">
        <v>121</v>
      </c>
      <c r="C69" s="98"/>
      <c r="D69" s="144"/>
      <c r="E69" s="43"/>
      <c r="F69" s="54" t="s">
        <v>121</v>
      </c>
      <c r="G69" s="98"/>
      <c r="H69" s="144"/>
    </row>
    <row r="70" spans="1:8" ht="15" customHeight="1" x14ac:dyDescent="0.35">
      <c r="A70" s="55"/>
      <c r="B70" s="54" t="s">
        <v>92</v>
      </c>
      <c r="C70" s="81" t="s">
        <v>104</v>
      </c>
      <c r="D70" s="145" t="s">
        <v>104</v>
      </c>
      <c r="E70" s="43"/>
      <c r="F70" s="54" t="s">
        <v>92</v>
      </c>
      <c r="G70" s="81" t="s">
        <v>104</v>
      </c>
      <c r="H70" s="145" t="s">
        <v>104</v>
      </c>
    </row>
    <row r="71" spans="1:8" ht="15" customHeight="1" x14ac:dyDescent="0.35">
      <c r="A71" s="55"/>
      <c r="B71" s="54" t="s">
        <v>98</v>
      </c>
      <c r="C71" s="82"/>
      <c r="D71" s="145"/>
      <c r="E71" s="43"/>
      <c r="F71" s="54" t="s">
        <v>98</v>
      </c>
      <c r="G71" s="82"/>
      <c r="H71" s="145"/>
    </row>
    <row r="72" spans="1:8" ht="15" customHeight="1" x14ac:dyDescent="0.35">
      <c r="A72" s="55"/>
      <c r="B72" s="54" t="s">
        <v>94</v>
      </c>
      <c r="C72" s="82"/>
      <c r="D72" s="145"/>
      <c r="E72" s="43"/>
      <c r="F72" s="54" t="s">
        <v>94</v>
      </c>
      <c r="G72" s="82"/>
      <c r="H72" s="145"/>
    </row>
    <row r="73" spans="1:8" ht="15" customHeight="1" x14ac:dyDescent="0.35">
      <c r="A73" s="55"/>
      <c r="B73" s="54" t="s">
        <v>96</v>
      </c>
      <c r="C73" s="82"/>
      <c r="D73" s="146"/>
      <c r="E73" s="43"/>
      <c r="F73" s="54" t="s">
        <v>96</v>
      </c>
      <c r="G73" s="82"/>
      <c r="H73" s="146"/>
    </row>
    <row r="74" spans="1:8" ht="15" customHeight="1" x14ac:dyDescent="0.35">
      <c r="A74" s="55"/>
      <c r="B74" s="77" t="s">
        <v>100</v>
      </c>
      <c r="C74" s="83" t="s">
        <v>104</v>
      </c>
      <c r="D74" s="188" t="s">
        <v>104</v>
      </c>
      <c r="E74" s="43"/>
      <c r="F74" s="77" t="s">
        <v>100</v>
      </c>
      <c r="G74" s="83" t="s">
        <v>104</v>
      </c>
      <c r="H74" s="188" t="s">
        <v>104</v>
      </c>
    </row>
    <row r="75" spans="1:8" ht="15" customHeight="1" x14ac:dyDescent="0.35"/>
    <row r="76" spans="1:8" ht="15" customHeight="1" x14ac:dyDescent="0.35"/>
    <row r="77" spans="1:8" ht="15" customHeight="1" x14ac:dyDescent="0.35"/>
    <row r="78" spans="1:8" ht="15" customHeight="1" x14ac:dyDescent="0.35">
      <c r="B78" s="239" t="s">
        <v>124</v>
      </c>
      <c r="C78" s="240"/>
    </row>
    <row r="79" spans="1:8" ht="15" customHeight="1" x14ac:dyDescent="0.35">
      <c r="B79" s="21" t="s">
        <v>125</v>
      </c>
      <c r="C79" s="20"/>
    </row>
    <row r="80" spans="1:8" ht="15" customHeight="1" x14ac:dyDescent="0.35">
      <c r="B80" s="21" t="s">
        <v>126</v>
      </c>
      <c r="C80" s="20"/>
    </row>
    <row r="81" spans="2:3" ht="15" customHeight="1" x14ac:dyDescent="0.35">
      <c r="B81" s="21" t="s">
        <v>127</v>
      </c>
      <c r="C81" s="22"/>
    </row>
    <row r="82" spans="2:3" ht="15" customHeight="1" x14ac:dyDescent="0.35">
      <c r="B82" s="21" t="s">
        <v>128</v>
      </c>
      <c r="C82" s="22"/>
    </row>
    <row r="83" spans="2:3" ht="15" customHeight="1" x14ac:dyDescent="0.35">
      <c r="B83" s="23" t="s">
        <v>129</v>
      </c>
      <c r="C83" s="24"/>
    </row>
    <row r="131" spans="2:7" hidden="1" x14ac:dyDescent="0.35"/>
    <row r="132" spans="2:7" hidden="1" x14ac:dyDescent="0.35"/>
    <row r="133" spans="2:7" hidden="1" x14ac:dyDescent="0.35">
      <c r="B133" s="29" t="s">
        <v>130</v>
      </c>
      <c r="C133" s="196">
        <f>_xlfn.IFNA(VLOOKUP($C$53,MeasureConfidence[[#All],[Measure Confidence Level]:[Confidence Score]],2,FALSE),0)</f>
        <v>0</v>
      </c>
      <c r="F133" s="58" t="s">
        <v>131</v>
      </c>
      <c r="G133" s="196">
        <f>_xlfn.IFNA(VLOOKUP($D$53,MeasureConfidence[[#All],[Measure Confidence Level]:[Confidence Score]],2,FALSE),0)</f>
        <v>0</v>
      </c>
    </row>
    <row r="134" spans="2:7" hidden="1" x14ac:dyDescent="0.35">
      <c r="B134" s="29" t="s">
        <v>132</v>
      </c>
      <c r="C134" s="196">
        <f>_xlfn.IFNA(VLOOKUP($G$53,MeasureConfidence[[#All],[Measure Confidence Level]:[Confidence Score]],2,FALSE),0)</f>
        <v>0</v>
      </c>
      <c r="F134" s="58" t="s">
        <v>133</v>
      </c>
      <c r="G134" s="196">
        <f>_xlfn.IFNA(VLOOKUP($H$53,MeasureConfidence[[#All],[Measure Confidence Level]:[Confidence Score]],2,FALSE),0)</f>
        <v>0</v>
      </c>
    </row>
    <row r="135" spans="2:7" hidden="1" x14ac:dyDescent="0.35">
      <c r="B135" s="29" t="s">
        <v>134</v>
      </c>
      <c r="C135" s="196">
        <f>_xlfn.IFNA(VLOOKUP($C$74,MeasureConfidence[[#All],[Measure Confidence Level]:[Confidence Score]],2,FALSE),0)</f>
        <v>0</v>
      </c>
      <c r="F135" s="58" t="s">
        <v>135</v>
      </c>
      <c r="G135" s="196">
        <f>_xlfn.IFNA(VLOOKUP($D$74,MeasureConfidence[[#All],[Measure Confidence Level]:[Confidence Score]],2,FALSE),0)</f>
        <v>0</v>
      </c>
    </row>
    <row r="136" spans="2:7" hidden="1" x14ac:dyDescent="0.35">
      <c r="B136" s="29" t="s">
        <v>136</v>
      </c>
      <c r="C136" s="196">
        <f>_xlfn.IFNA(VLOOKUP($G$74,MeasureConfidence[[#All],[Measure Confidence Level]:[Confidence Score]],2,FALSE),0)</f>
        <v>0</v>
      </c>
      <c r="F136" s="58" t="s">
        <v>137</v>
      </c>
      <c r="G136" s="196">
        <f>_xlfn.IFNA(VLOOKUP($H$74,MeasureConfidence[[#All],[Measure Confidence Level]:[Confidence Score]],2,FALSE),0)</f>
        <v>0</v>
      </c>
    </row>
    <row r="137" spans="2:7" hidden="1" x14ac:dyDescent="0.35">
      <c r="B137" s="29"/>
      <c r="C137" s="196"/>
      <c r="F137" s="58"/>
      <c r="G137" s="196"/>
    </row>
    <row r="138" spans="2:7" hidden="1" x14ac:dyDescent="0.35">
      <c r="B138" s="29" t="s">
        <v>138</v>
      </c>
      <c r="C138" s="196" t="e">
        <f>ROUND(AVERAGEIF(C133:C136,"&gt;0"),0)</f>
        <v>#DIV/0!</v>
      </c>
      <c r="F138" s="58" t="s">
        <v>138</v>
      </c>
      <c r="G138" s="196" t="e">
        <f>ROUND(AVERAGEIF(G133:G136,"&gt;0"),0)</f>
        <v>#DIV/0!</v>
      </c>
    </row>
    <row r="139" spans="2:7" hidden="1" x14ac:dyDescent="0.35">
      <c r="B139" s="29"/>
      <c r="C139" s="196"/>
      <c r="F139" s="58"/>
      <c r="G139" s="196"/>
    </row>
    <row r="140" spans="2:7" hidden="1" x14ac:dyDescent="0.35">
      <c r="B140" s="29" t="s">
        <v>139</v>
      </c>
      <c r="C140" s="196">
        <f>_xlfn.MINIFS(C133:C136,C133:C136,"&gt;0")</f>
        <v>0</v>
      </c>
      <c r="F140" s="58" t="s">
        <v>139</v>
      </c>
      <c r="G140" s="196">
        <f>_xlfn.MINIFS(G133:G136,G133:G136,"&gt;0")</f>
        <v>0</v>
      </c>
    </row>
    <row r="141" spans="2:7" hidden="1" x14ac:dyDescent="0.35"/>
    <row r="142" spans="2:7" hidden="1" x14ac:dyDescent="0.35"/>
    <row r="143" spans="2:7" hidden="1" x14ac:dyDescent="0.35"/>
    <row r="144" spans="2:7" hidden="1" x14ac:dyDescent="0.35"/>
    <row r="145" hidden="1" x14ac:dyDescent="0.35"/>
    <row r="146" hidden="1" x14ac:dyDescent="0.35"/>
  </sheetData>
  <sheetProtection algorithmName="SHA-512" hashValue="9fFPlZlN2bjtd3sBKd8kzgNxVK5W7jhYQlMIa3mowVZLwUQHvxiwxcolrwU12s8st1KW8Qx6uwj4/i3g2PKGJw==" saltValue="+XjWpkkJdiSX6qVLPUA6Ew==" spinCount="100000" sheet="1" formatColumns="0" formatRows="0"/>
  <dataConsolidate link="1"/>
  <mergeCells count="7">
    <mergeCell ref="G24:G25"/>
    <mergeCell ref="H24:H25"/>
    <mergeCell ref="B78:C78"/>
    <mergeCell ref="B21:B25"/>
    <mergeCell ref="C21:C25"/>
    <mergeCell ref="D21:D25"/>
    <mergeCell ref="F24:F25"/>
  </mergeCells>
  <dataValidations xWindow="635" yWindow="529" count="25">
    <dataValidation allowBlank="1" showInputMessage="1" showErrorMessage="1" prompt="Investment Details - automatically filled from Benefit Profile 1." sqref="C10" xr:uid="{0E8C939E-144C-46F5-ACB1-536597B98B32}"/>
    <dataValidation type="decimal" errorStyle="information" operator="greaterThan" allowBlank="1" showInputMessage="1" showErrorMessage="1" error="Numerical value only please" prompt="Numerical value only please" sqref="G45:H45" xr:uid="{1FAD77C3-68E0-4160-B3A3-A3D7C4A8457F}">
      <formula1>0</formula1>
    </dataValidation>
    <dataValidation type="list" allowBlank="1" showInputMessage="1" showErrorMessage="1" sqref="G41:H41 C62:D62 G62:H62" xr:uid="{7EEEA684-DC69-4593-86A9-16B05451FEB3}">
      <formula1>"Please select, Increase, Decrease"</formula1>
    </dataValidation>
    <dataValidation type="list" operator="greaterThanOrEqual" allowBlank="1" showInputMessage="1" showErrorMessage="1" sqref="C41:D41" xr:uid="{F82D00C8-BE71-493A-BA25-B5A40C5DC2B8}">
      <formula1>"Please select, Increase, Decrease"</formula1>
    </dataValidation>
    <dataValidation type="decimal" errorStyle="information" operator="lessThan" allowBlank="1" showInputMessage="1" showErrorMessage="1" error="Numerical value only please" prompt="Numerical value only please" sqref="C45:D45 C66:D66 G66:H66" xr:uid="{1CC2CCC4-9E6A-46C5-AD21-3CB42514F3B1}">
      <formula1>0</formula1>
    </dataValidation>
    <dataValidation type="list" allowBlank="1" showInputMessage="1" showErrorMessage="1" sqref="C49 G49 C70 G70" xr:uid="{AA9DF2B5-C7A1-402D-85EC-2DD1563A35C3}">
      <formula1>"Please select, Weekly, Fortnightly, In planning, Monthly, Quarterly, Biannually, Year (calendar), Year (financial)"</formula1>
    </dataValidation>
    <dataValidation type="list" allowBlank="1" showInputMessage="1" showErrorMessage="1" sqref="C31" xr:uid="{5224A19B-F5A3-45F5-964D-E90E7692E4E0}">
      <formula1>"Please select, Agency, Business, Citizen, Government"</formula1>
    </dataValidation>
    <dataValidation type="list" allowBlank="1" showInputMessage="1" showErrorMessage="1" sqref="C32" xr:uid="{1D192B8E-B14A-416F-9E6F-4BB1C7179C3A}">
      <formula1>"Please select, Data and digital foundations, Delivering for all people and business, Government for the future, Simple and seamless services, Trusted and secure"</formula1>
    </dataValidation>
    <dataValidation type="list" allowBlank="1" showInputMessage="1" showErrorMessage="1" sqref="C28" xr:uid="{8DA055C2-FADB-4FC8-820C-133059013F50}">
      <formula1>"Please select, Financial - Cashable, Financial - Non-Cashable, Non-financial"</formula1>
    </dataValidation>
    <dataValidation type="list" allowBlank="1" showInputMessage="1" showErrorMessage="1" sqref="C29" xr:uid="{B5E89D65-23B0-476C-8590-0A1E53B3D6EB}">
      <formula1>"Please select, Benefit, Disbenefit"</formula1>
    </dataValidation>
    <dataValidation allowBlank="1" showInputMessage="1" showErrorMessage="1" prompt="Benefit Endorsement fields will be automatically filled from Benefit Profile 1, except for date fields. _x000a_Please change if different." sqref="G18" xr:uid="{958431BE-7B0E-4756-BDD1-DD5D8CE135D9}"/>
    <dataValidation allowBlank="1" showInputMessage="1" showErrorMessage="1" prompt="DTA numbering system. Automatically populated when the DTA Investment ID is filled." sqref="C18" xr:uid="{975CDBB1-1AA5-4631-AB16-63655FF64489}"/>
    <dataValidation errorStyle="information" allowBlank="1" showInputMessage="1" showErrorMessage="1" sqref="G22" xr:uid="{90087A0F-410B-452E-80A0-93BED8CC5DD8}"/>
    <dataValidation type="date" operator="greaterThan" allowBlank="1" showInputMessage="1" showErrorMessage="1" sqref="G23" xr:uid="{2BC1A9E7-25A5-4241-8262-41EDBF448F1B}">
      <formula1>36526</formula1>
    </dataValidation>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6:D47 C79:C80 C42:D42 G67:H68 G46:H47 C67:D68 G42:H42 G63:H63 C63:D63" xr:uid="{8BB604EE-D4B6-49F6-817C-C3FF8D9AA123}">
      <formula1>1</formula1>
    </dataValidation>
    <dataValidation type="decimal" errorStyle="warning" allowBlank="1" showInputMessage="1" showErrorMessage="1" sqref="H48 D69 D48 H69" xr:uid="{45955121-717B-4AC1-974D-87C0E84FF006}">
      <formula1>0</formula1>
      <formula2>1</formula2>
    </dataValidation>
    <dataValidation type="decimal" allowBlank="1" showInputMessage="1" showErrorMessage="1" sqref="C48 G48 C69 G69" xr:uid="{C855A734-8E34-4C3B-87BB-1DE90B225F61}">
      <formula1>0</formula1>
      <formula2>1</formula2>
    </dataValidation>
    <dataValidation allowBlank="1" showInputMessage="1" showErrorMessage="1" prompt="Automatically calculated based on the lowest Benefit Confidence Level of the Measures/KPIs." sqref="G30" xr:uid="{4FA99142-2FFC-41CE-A80F-F61C246C5A3F}"/>
    <dataValidation allowBlank="1" showInputMessage="1" showErrorMessage="1" prompt="Automatically populated based on the earliest Realisation Start Date of the Measure/KPI date." sqref="G28" xr:uid="{9D90AB3B-FDA0-4E7B-BCBF-1302EA7FB51B}"/>
    <dataValidation allowBlank="1" showInputMessage="1" showErrorMessage="1" prompt="Automatically populated based on the latest Realisation End Date of the Measure/KPI date." sqref="G29" xr:uid="{7B8668AC-F087-4766-9ED7-70984A364036}"/>
    <dataValidation operator="greaterThanOrEqual" allowBlank="1" showInputMessage="1" showErrorMessage="1" sqref="C40" xr:uid="{F2743891-FBEB-4227-B4B7-C04F86858015}"/>
    <dataValidation type="date" errorStyle="warning" operator="greaterThan" allowBlank="1" showInputMessage="1" showErrorMessage="1" sqref="G21" xr:uid="{732D0DF7-A978-409F-80BA-167B7210AF74}">
      <formula1>36526</formula1>
    </dataValidation>
    <dataValidation type="decimal" operator="greaterThan" allowBlank="1" showInputMessage="1" showErrorMessage="1" error="Numerical value only please" prompt="Numerical value only please" sqref="C43:C44 G43:G44 G64:G65 C64:C65" xr:uid="{F44DE7C4-9A71-46B8-A68A-45701B7CFD18}">
      <formula1>0.0000000000001</formula1>
    </dataValidation>
    <dataValidation allowBlank="1" showInputMessage="1" showErrorMessage="1" prompt="Automatically populated when the Measure Name's cell is entered/filled" sqref="C35 G35 G56 C56" xr:uid="{409495B4-913D-4AC9-BFE9-648866E74540}"/>
    <dataValidation type="decimal" operator="greaterThan" allowBlank="1" showInputMessage="1" showErrorMessage="1" sqref="D43:D44 H43:H44 H64:H65 D64:D65" xr:uid="{133AD0AE-6A6E-4FE5-8ACC-9AD0A4213DC1}">
      <formula1>0.0000000000001</formula1>
    </dataValidation>
  </dataValidations>
  <printOptions horizontalCentered="1"/>
  <pageMargins left="0" right="0" top="0.74803149606299213" bottom="0.35433070866141736" header="0.31496062992125984" footer="0.31496062992125984"/>
  <pageSetup paperSize="9" scale="71" orientation="portrait" r:id="rId1"/>
  <ignoredErrors>
    <ignoredError sqref="C12:C14 G18:H25" unlockedFormula="1"/>
  </ignoredErrors>
  <drawing r:id="rId2"/>
  <extLst>
    <ext xmlns:x14="http://schemas.microsoft.com/office/spreadsheetml/2009/9/main" uri="{CCE6A557-97BC-4b89-ADB6-D9C93CAAB3DF}">
      <x14:dataValidations xmlns:xm="http://schemas.microsoft.com/office/excel/2006/main" xWindow="635" yWindow="529" count="9">
        <x14:dataValidation type="list" allowBlank="1" showInputMessage="1" showErrorMessage="1" xr:uid="{84F158AF-7EBC-4A14-B47E-4822F5E9494B}">
          <x14:formula1>
            <xm:f>'Validation Table'!$B$3:$B$6</xm:f>
          </x14:formula1>
          <xm:sqref>D28</xm:sqref>
        </x14:dataValidation>
        <x14:dataValidation type="list" allowBlank="1" showInputMessage="1" showErrorMessage="1" xr:uid="{8B67EBAA-BE2A-434E-BAA9-2E85136BB114}">
          <x14:formula1>
            <xm:f>'Validation Table'!$C$3:$C$17</xm:f>
          </x14:formula1>
          <xm:sqref>C30:D30</xm:sqref>
        </x14:dataValidation>
        <x14:dataValidation type="list" allowBlank="1" showInputMessage="1" showErrorMessage="1" xr:uid="{AD267C34-600E-4CE1-9B76-0036DD374145}">
          <x14:formula1>
            <xm:f>'Validation Table'!$E$3:$E$7</xm:f>
          </x14:formula1>
          <xm:sqref>D31</xm:sqref>
        </x14:dataValidation>
        <x14:dataValidation type="list" allowBlank="1" showInputMessage="1" showErrorMessage="1" xr:uid="{17EEEE9E-ACCA-41FE-A30A-8FAC7CB51B15}">
          <x14:formula1>
            <xm:f>'Validation Table'!$F$3:$F$8</xm:f>
          </x14:formula1>
          <xm:sqref>D32</xm:sqref>
        </x14:dataValidation>
        <x14:dataValidation type="list" allowBlank="1" showInputMessage="1" showErrorMessage="1" xr:uid="{BC183122-99DD-4022-B3A0-F9E74EE01D78}">
          <x14:formula1>
            <xm:f>'Validation Table'!$H$3:$H$11</xm:f>
          </x14:formula1>
          <xm:sqref>D70 H49 D49 H70</xm:sqref>
        </x14:dataValidation>
        <x14:dataValidation type="list" allowBlank="1" showInputMessage="1" showErrorMessage="1" xr:uid="{0713CF71-F72D-45B6-8129-4908EB6AFADF}">
          <x14:formula1>
            <xm:f>'Validation Table'!$D$3:$D$7</xm:f>
          </x14:formula1>
          <xm:sqref>D29</xm:sqref>
        </x14:dataValidation>
        <x14:dataValidation type="list" allowBlank="1" showInputMessage="1" showErrorMessage="1" xr:uid="{A5EEFB09-E1E3-4FEE-85E6-61C336699C5A}">
          <x14:formula1>
            <xm:f>'0. PortfolioAgencyLinks'!$T$1:$T$193</xm:f>
          </x14:formula1>
          <xm:sqref>C13:C14</xm:sqref>
        </x14:dataValidation>
        <x14:dataValidation type="list" allowBlank="1" showInputMessage="1" showErrorMessage="1" xr:uid="{87DA31D2-C226-46E8-9127-939E64FC0C21}">
          <x14:formula1>
            <xm:f>'Validation Table'!$I$3:$I$8</xm:f>
          </x14:formula1>
          <xm:sqref>C53:D53 G53:H53 G74:H74 C74:D74</xm:sqref>
        </x14:dataValidation>
        <x14:dataValidation type="list" allowBlank="1" showInputMessage="1" showErrorMessage="1" prompt="Agency fields will be automatically filled from Benefit Profile 1. Please change if different." xr:uid="{74ED3A45-BDA6-4694-AC85-981A6D53200D}">
          <x14:formula1>
            <xm:f>'0. PortfolioAgencyLinks'!$T$1:$T$193</xm:f>
          </x14:formula1>
          <xm:sqref>C12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DAAA-9BDE-4C22-BCF2-472EDC899977}">
  <sheetPr>
    <tabColor rgb="FFC8EBD7"/>
    <pageSetUpPr fitToPage="1"/>
  </sheetPr>
  <dimension ref="A1:O152"/>
  <sheetViews>
    <sheetView zoomScale="90" zoomScaleNormal="90" workbookViewId="0">
      <selection activeCell="C10" sqref="C10"/>
    </sheetView>
  </sheetViews>
  <sheetFormatPr defaultColWidth="9.1796875" defaultRowHeight="14.5" outlineLevelCol="1" x14ac:dyDescent="0.35"/>
  <cols>
    <col min="1" max="1" width="2" style="3" customWidth="1"/>
    <col min="2" max="3" width="45.7265625" style="3" customWidth="1"/>
    <col min="4" max="4" width="45.7265625" style="55" hidden="1" customWidth="1" outlineLevel="1"/>
    <col min="5" max="5" width="5.7265625" style="3" customWidth="1" collapsed="1"/>
    <col min="6" max="6" width="45.7265625" style="55" customWidth="1"/>
    <col min="7" max="7" width="45.7265625" style="3" customWidth="1"/>
    <col min="8" max="8" width="45.7265625" style="55"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42"/>
      <c r="D1" s="42"/>
      <c r="E1" s="42"/>
      <c r="F1" s="42"/>
      <c r="G1" s="42"/>
      <c r="H1" s="42"/>
    </row>
    <row r="2" spans="1:15" x14ac:dyDescent="0.35">
      <c r="A2" s="42"/>
      <c r="B2" s="42"/>
      <c r="C2" s="42"/>
      <c r="D2" s="42"/>
      <c r="E2" s="42"/>
      <c r="F2" s="42"/>
      <c r="G2" s="42"/>
      <c r="H2" s="42"/>
    </row>
    <row r="3" spans="1:15" x14ac:dyDescent="0.35">
      <c r="A3" s="42"/>
      <c r="B3" s="42"/>
      <c r="C3" s="42"/>
      <c r="D3" s="42"/>
      <c r="E3" s="42"/>
      <c r="F3" s="42"/>
      <c r="G3" s="42"/>
      <c r="H3" s="42"/>
    </row>
    <row r="4" spans="1:15" ht="42" customHeight="1" x14ac:dyDescent="0.35">
      <c r="A4" s="42"/>
      <c r="B4" s="42"/>
      <c r="C4" s="42"/>
      <c r="D4" s="42"/>
      <c r="E4" s="42"/>
      <c r="F4" s="42"/>
      <c r="G4" s="42"/>
      <c r="H4" s="42"/>
    </row>
    <row r="5" spans="1:15" ht="46" x14ac:dyDescent="0.35">
      <c r="A5" s="42"/>
      <c r="B5" s="204" t="s">
        <v>203</v>
      </c>
      <c r="C5" s="57"/>
      <c r="D5" s="152"/>
      <c r="E5" s="56"/>
      <c r="F5" s="56"/>
      <c r="G5" s="42"/>
      <c r="H5" s="42"/>
    </row>
    <row r="6" spans="1:15" x14ac:dyDescent="0.35">
      <c r="A6" s="42"/>
      <c r="B6" s="42"/>
      <c r="C6" s="42"/>
      <c r="D6" s="42"/>
      <c r="E6" s="42"/>
      <c r="F6" s="42"/>
      <c r="G6" s="42"/>
      <c r="H6" s="42"/>
    </row>
    <row r="7" spans="1:15" ht="15" customHeight="1" x14ac:dyDescent="0.35">
      <c r="A7" s="42"/>
      <c r="B7" s="56"/>
      <c r="C7" s="152"/>
      <c r="D7" s="153"/>
      <c r="E7" s="43"/>
      <c r="F7" s="43"/>
      <c r="G7" s="147"/>
      <c r="H7" s="147"/>
    </row>
    <row r="8" spans="1:15" ht="15" customHeight="1" x14ac:dyDescent="0.35">
      <c r="A8" s="42"/>
      <c r="B8" s="42"/>
      <c r="C8" s="147"/>
      <c r="D8" s="147"/>
      <c r="E8" s="43"/>
      <c r="F8" s="43"/>
      <c r="G8" s="147"/>
      <c r="H8" s="147"/>
    </row>
    <row r="9" spans="1:15" s="4" customFormat="1" ht="15" customHeight="1" x14ac:dyDescent="0.35">
      <c r="A9" s="44"/>
      <c r="B9" s="45" t="s">
        <v>103</v>
      </c>
      <c r="C9" s="199"/>
      <c r="D9" s="147"/>
      <c r="E9" s="43"/>
      <c r="F9" s="43"/>
      <c r="G9" s="147"/>
      <c r="H9" s="147"/>
      <c r="J9" s="3"/>
      <c r="K9" s="3"/>
      <c r="L9" s="3"/>
      <c r="M9" s="3"/>
      <c r="N9" s="3"/>
      <c r="O9" s="3"/>
    </row>
    <row r="10" spans="1:15" ht="15" customHeight="1" x14ac:dyDescent="0.35">
      <c r="A10" s="42"/>
      <c r="B10" s="88" t="s">
        <v>29</v>
      </c>
      <c r="C10" s="92">
        <f>'Benefit Profile 1'!$C$10</f>
        <v>0</v>
      </c>
      <c r="D10" s="147"/>
      <c r="E10" s="43"/>
      <c r="F10" s="43"/>
      <c r="G10" s="147"/>
      <c r="H10" s="147"/>
    </row>
    <row r="11" spans="1:15" ht="15" customHeight="1" x14ac:dyDescent="0.35">
      <c r="A11" s="42"/>
      <c r="B11" s="90" t="s">
        <v>30</v>
      </c>
      <c r="C11" s="92">
        <f>'Benefit Profile 1'!$C$11</f>
        <v>0</v>
      </c>
      <c r="D11" s="147"/>
      <c r="E11" s="43"/>
      <c r="F11" s="43"/>
      <c r="G11" s="147"/>
      <c r="H11" s="147"/>
    </row>
    <row r="12" spans="1:15" ht="15" customHeight="1" x14ac:dyDescent="0.35">
      <c r="A12" s="42"/>
      <c r="B12" s="90" t="s">
        <v>31</v>
      </c>
      <c r="C12" s="97" t="str">
        <f>'Benefit Profile 1'!$C$12</f>
        <v>Please select</v>
      </c>
      <c r="D12" s="147"/>
      <c r="E12" s="43"/>
      <c r="F12" s="43"/>
      <c r="G12" s="147"/>
      <c r="H12" s="147"/>
    </row>
    <row r="13" spans="1:15" ht="15" customHeight="1" x14ac:dyDescent="0.35">
      <c r="A13" s="42"/>
      <c r="B13" s="90" t="s">
        <v>33</v>
      </c>
      <c r="C13" s="97" t="str">
        <f>'Benefit Profile 1'!$C$13</f>
        <v>Please select</v>
      </c>
      <c r="D13" s="147"/>
      <c r="E13" s="43"/>
      <c r="F13" s="43"/>
      <c r="G13" s="147"/>
      <c r="H13" s="147"/>
    </row>
    <row r="14" spans="1:15" ht="30" customHeight="1" x14ac:dyDescent="0.35">
      <c r="A14" s="42"/>
      <c r="B14" s="91" t="s">
        <v>105</v>
      </c>
      <c r="C14" s="97" t="str">
        <f>'Benefit Profile 1'!$C$14</f>
        <v>Please select</v>
      </c>
      <c r="D14" s="147"/>
      <c r="E14" s="43"/>
      <c r="F14" s="43"/>
      <c r="G14" s="147"/>
      <c r="H14" s="147"/>
    </row>
    <row r="15" spans="1:15" ht="15" customHeight="1" x14ac:dyDescent="0.35">
      <c r="A15" s="42"/>
      <c r="B15" s="43"/>
      <c r="C15" s="147"/>
      <c r="D15" s="147"/>
      <c r="E15" s="43"/>
      <c r="F15" s="43"/>
      <c r="G15" s="147"/>
      <c r="H15" s="147"/>
    </row>
    <row r="16" spans="1:15" ht="15" customHeight="1" x14ac:dyDescent="0.35">
      <c r="A16" s="42"/>
      <c r="B16" s="43"/>
      <c r="C16" s="147"/>
      <c r="D16" s="147"/>
      <c r="E16" s="43"/>
      <c r="F16" s="43"/>
      <c r="G16" s="147"/>
      <c r="H16" s="147"/>
    </row>
    <row r="17" spans="1:15" s="4" customFormat="1" ht="15" customHeight="1" x14ac:dyDescent="0.35">
      <c r="A17" s="44"/>
      <c r="B17" s="47" t="s">
        <v>42</v>
      </c>
      <c r="C17" s="195"/>
      <c r="D17" s="154" t="s">
        <v>106</v>
      </c>
      <c r="E17" s="49"/>
      <c r="F17" s="47" t="s">
        <v>107</v>
      </c>
      <c r="G17" s="195"/>
      <c r="H17" s="148" t="s">
        <v>106</v>
      </c>
      <c r="J17" s="3"/>
      <c r="K17" s="3"/>
      <c r="L17" s="3"/>
      <c r="M17" s="3"/>
      <c r="N17" s="3"/>
      <c r="O17" s="3"/>
    </row>
    <row r="18" spans="1:15" s="30" customFormat="1" ht="15" customHeight="1" x14ac:dyDescent="0.35">
      <c r="A18" s="50"/>
      <c r="B18" s="54" t="s">
        <v>38</v>
      </c>
      <c r="C18" s="76" t="str">
        <f>IF(AND(LEFT(C10, 4)="INV-", ISNUMBER(VALUE(MID(C10, 5, LEN(C10)-4)))), C10 &amp; "-" &amp; VLOOKUP("Benefit Profile 10", BenefitNumbering[#All], 2, FALSE), "")</f>
        <v/>
      </c>
      <c r="D18" s="76" t="str">
        <f>IF(AND(LEFT(C10, 4)="INV-", ISNUMBER(VALUE(MID(C10, 5, LEN(C10)-4)))), C10 &amp; "-" &amp; VLOOKUP("Benefit Profile 10", BenefitNumberingVar[#All], 2, FALSE), "")</f>
        <v/>
      </c>
      <c r="E18" s="51"/>
      <c r="F18" s="54" t="s">
        <v>108</v>
      </c>
      <c r="G18" s="118">
        <f>'Benefit Profile 1'!$G$18</f>
        <v>0</v>
      </c>
      <c r="H18" s="197">
        <f>'Benefit Profile 1'!$H$18</f>
        <v>0</v>
      </c>
      <c r="J18" s="3"/>
      <c r="K18" s="3"/>
      <c r="L18" s="3"/>
      <c r="M18" s="3"/>
      <c r="N18" s="3"/>
      <c r="O18" s="3"/>
    </row>
    <row r="19" spans="1:15" ht="15" customHeight="1" x14ac:dyDescent="0.35">
      <c r="A19" s="42"/>
      <c r="B19" s="85" t="s">
        <v>109</v>
      </c>
      <c r="C19" s="41"/>
      <c r="D19" s="150"/>
      <c r="E19" s="43"/>
      <c r="F19" s="86" t="s">
        <v>110</v>
      </c>
      <c r="G19" s="118">
        <f>'Benefit Profile 1'!$G$19</f>
        <v>0</v>
      </c>
      <c r="H19" s="197">
        <f>'Benefit Profile 1'!$H$19</f>
        <v>0</v>
      </c>
    </row>
    <row r="20" spans="1:15" ht="15" customHeight="1" x14ac:dyDescent="0.35">
      <c r="A20" s="42"/>
      <c r="B20" s="85" t="s">
        <v>41</v>
      </c>
      <c r="C20" s="41"/>
      <c r="D20" s="150"/>
      <c r="E20" s="43"/>
      <c r="F20" s="86" t="s">
        <v>46</v>
      </c>
      <c r="G20" s="118">
        <f>'Benefit Profile 1'!$G$20</f>
        <v>0</v>
      </c>
      <c r="H20" s="197">
        <f>'Benefit Profile 1'!$H$20</f>
        <v>0</v>
      </c>
    </row>
    <row r="21" spans="1:15" ht="15" customHeight="1" x14ac:dyDescent="0.35">
      <c r="A21" s="42"/>
      <c r="B21" s="242" t="s">
        <v>42</v>
      </c>
      <c r="C21" s="241"/>
      <c r="D21" s="233"/>
      <c r="E21" s="43"/>
      <c r="F21" s="86" t="s">
        <v>111</v>
      </c>
      <c r="G21" s="99"/>
      <c r="H21" s="170"/>
    </row>
    <row r="22" spans="1:15" ht="15" customHeight="1" x14ac:dyDescent="0.35">
      <c r="A22" s="42"/>
      <c r="B22" s="243"/>
      <c r="C22" s="241"/>
      <c r="D22" s="235"/>
      <c r="E22" s="43"/>
      <c r="F22" s="86" t="s">
        <v>112</v>
      </c>
      <c r="G22" s="97">
        <f>'Benefit Profile 1'!$G$22</f>
        <v>0</v>
      </c>
      <c r="H22" s="97">
        <f>'Benefit Profile 1'!$H$22</f>
        <v>0</v>
      </c>
    </row>
    <row r="23" spans="1:15" ht="15" customHeight="1" x14ac:dyDescent="0.35">
      <c r="A23" s="42"/>
      <c r="B23" s="243"/>
      <c r="C23" s="241"/>
      <c r="D23" s="235"/>
      <c r="E23" s="43"/>
      <c r="F23" s="86" t="s">
        <v>113</v>
      </c>
      <c r="G23" s="99"/>
      <c r="H23" s="170"/>
    </row>
    <row r="24" spans="1:15" ht="15" customHeight="1" x14ac:dyDescent="0.35">
      <c r="A24" s="42"/>
      <c r="B24" s="243"/>
      <c r="C24" s="241"/>
      <c r="D24" s="235"/>
      <c r="E24" s="43"/>
      <c r="F24" s="242" t="s">
        <v>48</v>
      </c>
      <c r="G24" s="237"/>
      <c r="H24" s="233"/>
    </row>
    <row r="25" spans="1:15" ht="15" customHeight="1" x14ac:dyDescent="0.35">
      <c r="A25" s="42"/>
      <c r="B25" s="244"/>
      <c r="C25" s="238"/>
      <c r="D25" s="236"/>
      <c r="E25" s="43"/>
      <c r="F25" s="244"/>
      <c r="G25" s="238"/>
      <c r="H25" s="236"/>
    </row>
    <row r="26" spans="1:15" s="4" customFormat="1" ht="15" customHeight="1" x14ac:dyDescent="0.35">
      <c r="A26" s="44"/>
      <c r="B26" s="52"/>
      <c r="C26" s="147"/>
      <c r="D26" s="147"/>
      <c r="E26" s="43"/>
      <c r="F26" s="43"/>
      <c r="G26" s="147"/>
      <c r="H26" s="151"/>
      <c r="J26" s="3"/>
      <c r="K26" s="3"/>
      <c r="L26" s="3"/>
      <c r="M26" s="3"/>
      <c r="N26" s="3"/>
      <c r="O26" s="3"/>
    </row>
    <row r="27" spans="1:15" ht="15" customHeight="1" x14ac:dyDescent="0.35">
      <c r="A27" s="42"/>
      <c r="B27" s="47" t="s">
        <v>50</v>
      </c>
      <c r="C27" s="195"/>
      <c r="D27" s="148" t="s">
        <v>106</v>
      </c>
      <c r="E27" s="53"/>
      <c r="F27" s="47" t="s">
        <v>114</v>
      </c>
      <c r="G27" s="195"/>
      <c r="H27" s="148" t="s">
        <v>106</v>
      </c>
    </row>
    <row r="28" spans="1:15" ht="15" customHeight="1" x14ac:dyDescent="0.35">
      <c r="A28" s="42"/>
      <c r="B28" s="54" t="s">
        <v>51</v>
      </c>
      <c r="C28" s="41" t="s">
        <v>104</v>
      </c>
      <c r="D28" s="149" t="s">
        <v>104</v>
      </c>
      <c r="E28" s="43"/>
      <c r="F28" s="54" t="s">
        <v>62</v>
      </c>
      <c r="G28" s="75" t="str">
        <f>IF(AND($C$46="",$G$46="",$C$67="",$G$67=""),"",MIN($C$46,$G$46,$C$67,$G$67))</f>
        <v/>
      </c>
      <c r="H28" s="75" t="str">
        <f>IF(AND(D46="",$H$46="",$D$67="",$H$67=""),"",MIN($D$46,$H$46,$D$67,$H$67))</f>
        <v/>
      </c>
    </row>
    <row r="29" spans="1:15" ht="15" customHeight="1" x14ac:dyDescent="0.35">
      <c r="A29" s="42"/>
      <c r="B29" s="54" t="s">
        <v>53</v>
      </c>
      <c r="C29" s="41" t="s">
        <v>104</v>
      </c>
      <c r="D29" s="149" t="s">
        <v>104</v>
      </c>
      <c r="E29" s="43"/>
      <c r="F29" s="54" t="s">
        <v>64</v>
      </c>
      <c r="G29" s="75" t="str">
        <f>IF(AND($C$47="",$G$47="",$C$68="",$G$68=""),"",MAX($C$47,$G$47,$C$68,$G$68))</f>
        <v/>
      </c>
      <c r="H29" s="75" t="str">
        <f>IF(AND($D$47="",$H$47="",$D$68="",$H$68=""),"",MAX($D$47,$H$47,$D$68,$H$68))</f>
        <v/>
      </c>
    </row>
    <row r="30" spans="1:15" ht="15" customHeight="1" x14ac:dyDescent="0.35">
      <c r="A30" s="42"/>
      <c r="B30" s="54" t="s">
        <v>55</v>
      </c>
      <c r="C30" s="41" t="s">
        <v>104</v>
      </c>
      <c r="D30" s="149" t="s">
        <v>104</v>
      </c>
      <c r="E30" s="43"/>
      <c r="F30" s="119" t="s">
        <v>66</v>
      </c>
      <c r="G30" s="120" t="str">
        <f>IF(VLOOKUP($C$140,MeasureConfidence[[#All],[Confidence Score]:[Cross Ref]],2,FALSE)=0,"",VLOOKUP($C$140,MeasureConfidence[[#All],[Confidence Score]:[Cross Ref]],2,FALSE))</f>
        <v/>
      </c>
      <c r="H30" s="120" t="str">
        <f>IF(VLOOKUP($G$140,MeasureConfidence[[#All],[Confidence Score]:[Cross Ref]],2,FALSE)=0,"",VLOOKUP($G$140,MeasureConfidence[[#All],[Confidence Score]:[Cross Ref]],2,FALSE))</f>
        <v/>
      </c>
    </row>
    <row r="31" spans="1:15" ht="15" customHeight="1" x14ac:dyDescent="0.35">
      <c r="A31" s="42"/>
      <c r="B31" s="54" t="s">
        <v>57</v>
      </c>
      <c r="C31" s="41" t="s">
        <v>104</v>
      </c>
      <c r="D31" s="149" t="s">
        <v>104</v>
      </c>
      <c r="E31" s="43"/>
      <c r="F31" s="43"/>
      <c r="G31" s="147"/>
      <c r="H31" s="147"/>
    </row>
    <row r="32" spans="1:15" ht="15" customHeight="1" x14ac:dyDescent="0.35">
      <c r="A32" s="42"/>
      <c r="B32" s="74" t="s">
        <v>59</v>
      </c>
      <c r="C32" s="84" t="s">
        <v>104</v>
      </c>
      <c r="D32" s="155" t="s">
        <v>104</v>
      </c>
      <c r="E32" s="43"/>
      <c r="F32" s="43"/>
      <c r="G32" s="147"/>
      <c r="H32" s="147"/>
    </row>
    <row r="33" spans="1:8" ht="15" customHeight="1" x14ac:dyDescent="0.35">
      <c r="A33" s="42"/>
      <c r="B33" s="52"/>
      <c r="C33" s="147"/>
      <c r="D33" s="147"/>
      <c r="E33" s="43"/>
      <c r="F33" s="43"/>
      <c r="G33" s="147"/>
      <c r="H33" s="147"/>
    </row>
    <row r="34" spans="1:8" ht="15" customHeight="1" x14ac:dyDescent="0.35">
      <c r="A34" s="42"/>
      <c r="B34" s="47" t="s">
        <v>115</v>
      </c>
      <c r="C34" s="195"/>
      <c r="D34" s="154" t="s">
        <v>106</v>
      </c>
      <c r="E34" s="43"/>
      <c r="F34" s="47" t="s">
        <v>116</v>
      </c>
      <c r="G34" s="195"/>
      <c r="H34" s="148" t="s">
        <v>106</v>
      </c>
    </row>
    <row r="35" spans="1:8" ht="15" customHeight="1" x14ac:dyDescent="0.35">
      <c r="A35" s="42"/>
      <c r="B35" s="54" t="s">
        <v>69</v>
      </c>
      <c r="C35" s="76" t="str">
        <f>IF(AND(LEFT($C$10, 4)="INV-", ISNUMBER(VALUE(MID($C$10, 5, LEN($C$10)-4))), $C$36&lt;&gt;""), $C$10 &amp; "-" &amp; VLOOKUP("Benefit Profile 10", BenefitNumbering[#All], 2, FALSE) &amp; "-1", "")</f>
        <v/>
      </c>
      <c r="D35" s="76" t="str">
        <f>IF(AND(LEFT($C$10, 4)="INV-", ISNUMBER(VALUE(MID($C$10, 5, LEN($C$10)-4))), $D$36&lt;&gt;""), $C$10 &amp; "-" &amp; VLOOKUP("Benefit Profile 10", BenefitNumberingVar[#All], 2, FALSE) &amp; "-1", "")</f>
        <v/>
      </c>
      <c r="E35" s="43"/>
      <c r="F35" s="54" t="s">
        <v>69</v>
      </c>
      <c r="G35" s="76" t="str">
        <f>IF(AND(LEFT($C$10, 4)="INV-", ISNUMBER(VALUE(MID($C$10, 5, LEN($C$10)-4))), $G$36&lt;&gt;""), $C$10 &amp; "-" &amp; VLOOKUP("Benefit Profile 10", BenefitNumbering[#All], 2, FALSE) &amp; "-2", "")</f>
        <v/>
      </c>
      <c r="H35" s="76" t="str">
        <f>IF(AND(LEFT($C$10, 4)="INV-", ISNUMBER(VALUE(MID($C$10, 5, LEN($C$10)-4))), $H$36&lt;&gt;""), $C$10 &amp; "-" &amp; VLOOKUP("Benefit Profile 10", BenefitNumberingVar[#All], 2, FALSE) &amp; "-2", "")</f>
        <v/>
      </c>
    </row>
    <row r="36" spans="1:8" ht="15" customHeight="1" x14ac:dyDescent="0.35">
      <c r="A36" s="42"/>
      <c r="B36" s="54" t="s">
        <v>117</v>
      </c>
      <c r="C36" s="169"/>
      <c r="D36" s="143"/>
      <c r="E36" s="43"/>
      <c r="F36" s="54" t="s">
        <v>117</v>
      </c>
      <c r="G36" s="169"/>
      <c r="H36" s="143"/>
    </row>
    <row r="37" spans="1:8" ht="15" customHeight="1" x14ac:dyDescent="0.35">
      <c r="A37" s="42"/>
      <c r="B37" s="54" t="s">
        <v>72</v>
      </c>
      <c r="C37" s="169"/>
      <c r="D37" s="143"/>
      <c r="E37" s="43"/>
      <c r="F37" s="54" t="s">
        <v>72</v>
      </c>
      <c r="G37" s="169"/>
      <c r="H37" s="143"/>
    </row>
    <row r="38" spans="1:8" ht="15" customHeight="1" x14ac:dyDescent="0.35">
      <c r="A38" s="42"/>
      <c r="B38" s="115" t="s">
        <v>74</v>
      </c>
      <c r="C38" s="169"/>
      <c r="D38" s="143"/>
      <c r="E38" s="43"/>
      <c r="F38" s="54" t="s">
        <v>74</v>
      </c>
      <c r="G38" s="169"/>
      <c r="H38" s="143"/>
    </row>
    <row r="39" spans="1:8" ht="15" customHeight="1" x14ac:dyDescent="0.35">
      <c r="A39" s="42"/>
      <c r="B39" s="54" t="s">
        <v>76</v>
      </c>
      <c r="C39" s="169"/>
      <c r="D39" s="143"/>
      <c r="E39" s="43"/>
      <c r="F39" s="54" t="s">
        <v>76</v>
      </c>
      <c r="G39" s="169"/>
      <c r="H39" s="143"/>
    </row>
    <row r="40" spans="1:8" ht="15" customHeight="1" x14ac:dyDescent="0.35">
      <c r="A40" s="42"/>
      <c r="B40" s="54" t="s">
        <v>78</v>
      </c>
      <c r="C40" s="169"/>
      <c r="D40" s="143"/>
      <c r="E40" s="43"/>
      <c r="F40" s="54" t="s">
        <v>78</v>
      </c>
      <c r="G40" s="169"/>
      <c r="H40" s="143"/>
    </row>
    <row r="41" spans="1:8" ht="15" customHeight="1" x14ac:dyDescent="0.35">
      <c r="A41" s="42"/>
      <c r="B41" s="115" t="s">
        <v>439</v>
      </c>
      <c r="C41" s="169" t="s">
        <v>104</v>
      </c>
      <c r="D41" s="143" t="s">
        <v>104</v>
      </c>
      <c r="E41" s="43"/>
      <c r="F41" s="115" t="s">
        <v>439</v>
      </c>
      <c r="G41" s="169" t="s">
        <v>104</v>
      </c>
      <c r="H41" s="143"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438</v>
      </c>
      <c r="C45" s="116">
        <f>C44-C43</f>
        <v>0</v>
      </c>
      <c r="D45" s="116">
        <f>D44-D43</f>
        <v>0</v>
      </c>
      <c r="E45" s="43"/>
      <c r="F45" s="54" t="s">
        <v>438</v>
      </c>
      <c r="G45" s="116">
        <f>G44-G43</f>
        <v>0</v>
      </c>
      <c r="H45" s="116">
        <f>H44-H43</f>
        <v>0</v>
      </c>
    </row>
    <row r="46" spans="1:8" ht="15" customHeight="1" x14ac:dyDescent="0.35">
      <c r="A46" s="42"/>
      <c r="B46" s="54" t="s">
        <v>119</v>
      </c>
      <c r="C46" s="171"/>
      <c r="D46" s="132"/>
      <c r="E46" s="43"/>
      <c r="F46" s="54" t="s">
        <v>119</v>
      </c>
      <c r="G46" s="171"/>
      <c r="H46" s="132"/>
    </row>
    <row r="47" spans="1:8" ht="15" customHeight="1" x14ac:dyDescent="0.35">
      <c r="A47" s="42"/>
      <c r="B47" s="54" t="s">
        <v>120</v>
      </c>
      <c r="C47" s="171"/>
      <c r="D47" s="132"/>
      <c r="E47" s="43"/>
      <c r="F47" s="54" t="s">
        <v>120</v>
      </c>
      <c r="G47" s="171"/>
      <c r="H47" s="132"/>
    </row>
    <row r="48" spans="1:8" ht="15" customHeight="1" x14ac:dyDescent="0.35">
      <c r="A48" s="42"/>
      <c r="B48" s="54" t="s">
        <v>121</v>
      </c>
      <c r="C48" s="98"/>
      <c r="D48" s="144"/>
      <c r="E48" s="43"/>
      <c r="F48" s="54" t="s">
        <v>121</v>
      </c>
      <c r="G48" s="98"/>
      <c r="H48" s="144"/>
    </row>
    <row r="49" spans="1:8" ht="15" customHeight="1" x14ac:dyDescent="0.35">
      <c r="A49" s="42"/>
      <c r="B49" s="54" t="s">
        <v>92</v>
      </c>
      <c r="C49" s="81" t="s">
        <v>104</v>
      </c>
      <c r="D49" s="145" t="s">
        <v>104</v>
      </c>
      <c r="E49" s="43"/>
      <c r="F49" s="54" t="s">
        <v>92</v>
      </c>
      <c r="G49" s="81" t="s">
        <v>104</v>
      </c>
      <c r="H49" s="145"/>
    </row>
    <row r="50" spans="1:8" ht="15" customHeight="1" x14ac:dyDescent="0.35">
      <c r="A50" s="42"/>
      <c r="B50" s="54" t="s">
        <v>98</v>
      </c>
      <c r="C50" s="82"/>
      <c r="D50" s="145"/>
      <c r="E50" s="43"/>
      <c r="F50" s="54" t="s">
        <v>98</v>
      </c>
      <c r="G50" s="82"/>
      <c r="H50" s="145"/>
    </row>
    <row r="51" spans="1:8" ht="15" customHeight="1" x14ac:dyDescent="0.35">
      <c r="A51" s="42"/>
      <c r="B51" s="54" t="s">
        <v>94</v>
      </c>
      <c r="C51" s="82"/>
      <c r="D51" s="145"/>
      <c r="E51" s="43"/>
      <c r="F51" s="54" t="s">
        <v>94</v>
      </c>
      <c r="G51" s="82"/>
      <c r="H51" s="145"/>
    </row>
    <row r="52" spans="1:8" ht="15" customHeight="1" x14ac:dyDescent="0.35">
      <c r="A52" s="42"/>
      <c r="B52" s="54" t="s">
        <v>96</v>
      </c>
      <c r="C52" s="82"/>
      <c r="D52" s="146"/>
      <c r="E52" s="43"/>
      <c r="F52" s="54" t="s">
        <v>96</v>
      </c>
      <c r="G52" s="82"/>
      <c r="H52" s="146"/>
    </row>
    <row r="53" spans="1:8" ht="15" customHeight="1" x14ac:dyDescent="0.35">
      <c r="A53" s="42"/>
      <c r="B53" s="77" t="s">
        <v>100</v>
      </c>
      <c r="C53" s="83" t="s">
        <v>104</v>
      </c>
      <c r="D53" s="188" t="s">
        <v>104</v>
      </c>
      <c r="E53" s="43"/>
      <c r="F53" s="77" t="s">
        <v>100</v>
      </c>
      <c r="G53" s="83" t="s">
        <v>104</v>
      </c>
      <c r="H53" s="188" t="s">
        <v>104</v>
      </c>
    </row>
    <row r="54" spans="1:8" ht="15" customHeight="1" x14ac:dyDescent="0.35">
      <c r="A54" s="42"/>
      <c r="B54" s="52"/>
      <c r="C54" s="147"/>
      <c r="D54" s="147"/>
      <c r="E54" s="43"/>
      <c r="F54" s="43"/>
      <c r="G54" s="147"/>
      <c r="H54" s="147"/>
    </row>
    <row r="55" spans="1:8" ht="15" customHeight="1" x14ac:dyDescent="0.35">
      <c r="A55" s="42"/>
      <c r="B55" s="47" t="s">
        <v>122</v>
      </c>
      <c r="C55" s="195"/>
      <c r="D55" s="148" t="s">
        <v>106</v>
      </c>
      <c r="E55" s="43"/>
      <c r="F55" s="47" t="s">
        <v>123</v>
      </c>
      <c r="G55" s="195"/>
      <c r="H55" s="148" t="s">
        <v>106</v>
      </c>
    </row>
    <row r="56" spans="1:8" ht="15" customHeight="1" x14ac:dyDescent="0.35">
      <c r="A56" s="42"/>
      <c r="B56" s="54" t="s">
        <v>69</v>
      </c>
      <c r="C56" s="76" t="str">
        <f>IF(AND(LEFT($C$10, 4)="INV-", ISNUMBER(VALUE(MID($C$10, 5, LEN($C$10)-4))), $C$57&lt;&gt;""), $C$10 &amp; "-" &amp; VLOOKUP("Benefit Profile 10", BenefitNumbering[#All], 2, FALSE) &amp; "-3", "")</f>
        <v/>
      </c>
      <c r="D56" s="76" t="str">
        <f>IF(AND(LEFT($C$10, 4)="INV-", ISNUMBER(VALUE(MID($C$10, 5, LEN($C$10)-4))), $D$57&lt;&gt;""), $C$10 &amp; "-" &amp; VLOOKUP("Benefit Profile 10", BenefitNumberingVar[#All], 2, FALSE) &amp; "-3", "")</f>
        <v/>
      </c>
      <c r="E56" s="43"/>
      <c r="F56" s="54" t="s">
        <v>69</v>
      </c>
      <c r="G56" s="76" t="str">
        <f>IF(AND(LEFT($C$10, 4)="INV-", ISNUMBER(VALUE(MID($C$10, 5, LEN($C$10)-4))), $G$57&lt;&gt;""), $C$10 &amp; "-" &amp; VLOOKUP("Benefit Profile 10", BenefitNumbering[#All], 2, FALSE) &amp; "-4", "")</f>
        <v/>
      </c>
      <c r="H56" s="76" t="str">
        <f>IF(AND(LEFT($C$10, 4)="INV-", ISNUMBER(VALUE(MID($C$10, 5, LEN($C$10)-4))), $H$57&lt;&gt;""), $C$10 &amp; "-" &amp; VLOOKUP("Benefit Profile 10", BenefitNumberingVar[#All], 2, FALSE) &amp; "-4", "")</f>
        <v/>
      </c>
    </row>
    <row r="57" spans="1:8" ht="15" customHeight="1" x14ac:dyDescent="0.35">
      <c r="A57" s="55"/>
      <c r="B57" s="54" t="s">
        <v>117</v>
      </c>
      <c r="C57" s="169"/>
      <c r="D57" s="143"/>
      <c r="E57" s="78"/>
      <c r="F57" s="54" t="s">
        <v>117</v>
      </c>
      <c r="G57" s="169"/>
      <c r="H57" s="143"/>
    </row>
    <row r="58" spans="1:8" ht="15" customHeight="1" x14ac:dyDescent="0.35">
      <c r="A58" s="55"/>
      <c r="B58" s="54" t="s">
        <v>72</v>
      </c>
      <c r="C58" s="169"/>
      <c r="D58" s="143"/>
      <c r="E58" s="43"/>
      <c r="F58" s="54" t="s">
        <v>72</v>
      </c>
      <c r="G58" s="169"/>
      <c r="H58" s="143"/>
    </row>
    <row r="59" spans="1:8" ht="15" customHeight="1" x14ac:dyDescent="0.35">
      <c r="A59" s="55"/>
      <c r="B59" s="54" t="s">
        <v>74</v>
      </c>
      <c r="C59" s="169"/>
      <c r="D59" s="143"/>
      <c r="E59" s="43"/>
      <c r="F59" s="54" t="s">
        <v>74</v>
      </c>
      <c r="G59" s="169"/>
      <c r="H59" s="143"/>
    </row>
    <row r="60" spans="1:8" ht="15" customHeight="1" x14ac:dyDescent="0.35">
      <c r="A60" s="55"/>
      <c r="B60" s="54" t="s">
        <v>76</v>
      </c>
      <c r="C60" s="169"/>
      <c r="D60" s="143"/>
      <c r="E60" s="43"/>
      <c r="F60" s="54" t="s">
        <v>76</v>
      </c>
      <c r="G60" s="169"/>
      <c r="H60" s="143"/>
    </row>
    <row r="61" spans="1:8" ht="15" customHeight="1" x14ac:dyDescent="0.35">
      <c r="A61" s="55"/>
      <c r="B61" s="54" t="s">
        <v>78</v>
      </c>
      <c r="C61" s="169"/>
      <c r="D61" s="143"/>
      <c r="E61" s="43"/>
      <c r="F61" s="54" t="s">
        <v>78</v>
      </c>
      <c r="G61" s="169"/>
      <c r="H61" s="143"/>
    </row>
    <row r="62" spans="1:8" ht="15" customHeight="1" x14ac:dyDescent="0.35">
      <c r="A62" s="55"/>
      <c r="B62" s="115" t="s">
        <v>439</v>
      </c>
      <c r="C62" s="169" t="s">
        <v>104</v>
      </c>
      <c r="D62" s="143" t="s">
        <v>104</v>
      </c>
      <c r="E62" s="43"/>
      <c r="F62" s="115" t="s">
        <v>439</v>
      </c>
      <c r="G62" s="169" t="s">
        <v>104</v>
      </c>
      <c r="H62" s="143" t="s">
        <v>104</v>
      </c>
    </row>
    <row r="63" spans="1:8" ht="15" customHeight="1" x14ac:dyDescent="0.35">
      <c r="A63" s="55"/>
      <c r="B63" s="54" t="s">
        <v>118</v>
      </c>
      <c r="C63" s="171"/>
      <c r="D63" s="132"/>
      <c r="E63" s="43"/>
      <c r="F63" s="54" t="s">
        <v>118</v>
      </c>
      <c r="G63" s="171"/>
      <c r="H63" s="132"/>
    </row>
    <row r="64" spans="1:8" ht="15" customHeight="1" x14ac:dyDescent="0.35">
      <c r="A64" s="55"/>
      <c r="B64" s="54" t="s">
        <v>82</v>
      </c>
      <c r="C64" s="157"/>
      <c r="D64" s="133"/>
      <c r="E64" s="43"/>
      <c r="F64" s="54" t="s">
        <v>82</v>
      </c>
      <c r="G64" s="157"/>
      <c r="H64" s="133"/>
    </row>
    <row r="65" spans="1:8" ht="15" customHeight="1" x14ac:dyDescent="0.35">
      <c r="A65" s="55"/>
      <c r="B65" s="54" t="s">
        <v>84</v>
      </c>
      <c r="C65" s="157"/>
      <c r="D65" s="133"/>
      <c r="E65" s="43"/>
      <c r="F65" s="54" t="s">
        <v>84</v>
      </c>
      <c r="G65" s="157"/>
      <c r="H65" s="133"/>
    </row>
    <row r="66" spans="1:8" ht="15" customHeight="1" x14ac:dyDescent="0.35">
      <c r="A66" s="55"/>
      <c r="B66" s="54" t="s">
        <v>438</v>
      </c>
      <c r="C66" s="116">
        <f>C65-C64</f>
        <v>0</v>
      </c>
      <c r="D66" s="116">
        <f>D65-D64</f>
        <v>0</v>
      </c>
      <c r="E66" s="43"/>
      <c r="F66" s="54" t="s">
        <v>438</v>
      </c>
      <c r="G66" s="116">
        <f>G65-G64</f>
        <v>0</v>
      </c>
      <c r="H66" s="116">
        <f>H65-H64</f>
        <v>0</v>
      </c>
    </row>
    <row r="67" spans="1:8" ht="15" customHeight="1" x14ac:dyDescent="0.35">
      <c r="A67" s="55"/>
      <c r="B67" s="54" t="s">
        <v>119</v>
      </c>
      <c r="C67" s="171"/>
      <c r="D67" s="132"/>
      <c r="E67" s="43"/>
      <c r="F67" s="54" t="s">
        <v>119</v>
      </c>
      <c r="G67" s="171"/>
      <c r="H67" s="132"/>
    </row>
    <row r="68" spans="1:8" ht="15" customHeight="1" x14ac:dyDescent="0.35">
      <c r="A68" s="55"/>
      <c r="B68" s="54" t="s">
        <v>120</v>
      </c>
      <c r="C68" s="171"/>
      <c r="D68" s="132"/>
      <c r="E68" s="43"/>
      <c r="F68" s="54" t="s">
        <v>120</v>
      </c>
      <c r="G68" s="171"/>
      <c r="H68" s="132"/>
    </row>
    <row r="69" spans="1:8" ht="15" customHeight="1" x14ac:dyDescent="0.35">
      <c r="A69" s="55"/>
      <c r="B69" s="54" t="s">
        <v>121</v>
      </c>
      <c r="C69" s="98"/>
      <c r="D69" s="144"/>
      <c r="E69" s="43"/>
      <c r="F69" s="54" t="s">
        <v>121</v>
      </c>
      <c r="G69" s="98"/>
      <c r="H69" s="144"/>
    </row>
    <row r="70" spans="1:8" ht="15" customHeight="1" x14ac:dyDescent="0.35">
      <c r="A70" s="55"/>
      <c r="B70" s="54" t="s">
        <v>92</v>
      </c>
      <c r="C70" s="81" t="s">
        <v>104</v>
      </c>
      <c r="D70" s="145" t="s">
        <v>104</v>
      </c>
      <c r="E70" s="43"/>
      <c r="F70" s="54" t="s">
        <v>92</v>
      </c>
      <c r="G70" s="81" t="s">
        <v>104</v>
      </c>
      <c r="H70" s="145" t="s">
        <v>104</v>
      </c>
    </row>
    <row r="71" spans="1:8" ht="15" customHeight="1" x14ac:dyDescent="0.35">
      <c r="A71" s="55"/>
      <c r="B71" s="54" t="s">
        <v>98</v>
      </c>
      <c r="C71" s="82"/>
      <c r="D71" s="145"/>
      <c r="E71" s="43"/>
      <c r="F71" s="54" t="s">
        <v>98</v>
      </c>
      <c r="G71" s="82"/>
      <c r="H71" s="145"/>
    </row>
    <row r="72" spans="1:8" ht="15" customHeight="1" x14ac:dyDescent="0.35">
      <c r="A72" s="55"/>
      <c r="B72" s="54" t="s">
        <v>94</v>
      </c>
      <c r="C72" s="82"/>
      <c r="D72" s="145"/>
      <c r="E72" s="43"/>
      <c r="F72" s="54" t="s">
        <v>94</v>
      </c>
      <c r="G72" s="82"/>
      <c r="H72" s="145"/>
    </row>
    <row r="73" spans="1:8" ht="15" customHeight="1" x14ac:dyDescent="0.35">
      <c r="A73" s="55"/>
      <c r="B73" s="54" t="s">
        <v>96</v>
      </c>
      <c r="C73" s="82"/>
      <c r="D73" s="146"/>
      <c r="E73" s="43"/>
      <c r="F73" s="54" t="s">
        <v>96</v>
      </c>
      <c r="G73" s="82"/>
      <c r="H73" s="146"/>
    </row>
    <row r="74" spans="1:8" ht="15" customHeight="1" x14ac:dyDescent="0.35">
      <c r="A74" s="55"/>
      <c r="B74" s="77" t="s">
        <v>100</v>
      </c>
      <c r="C74" s="83" t="s">
        <v>104</v>
      </c>
      <c r="D74" s="188" t="s">
        <v>104</v>
      </c>
      <c r="E74" s="43"/>
      <c r="F74" s="77" t="s">
        <v>100</v>
      </c>
      <c r="G74" s="83" t="s">
        <v>104</v>
      </c>
      <c r="H74" s="188" t="s">
        <v>104</v>
      </c>
    </row>
    <row r="75" spans="1:8" ht="15" customHeight="1" x14ac:dyDescent="0.35"/>
    <row r="76" spans="1:8" ht="15" customHeight="1" x14ac:dyDescent="0.35"/>
    <row r="77" spans="1:8" ht="15" customHeight="1" x14ac:dyDescent="0.35"/>
    <row r="78" spans="1:8" ht="15" customHeight="1" x14ac:dyDescent="0.35">
      <c r="B78" s="239" t="s">
        <v>124</v>
      </c>
      <c r="C78" s="250"/>
    </row>
    <row r="79" spans="1:8" ht="15" customHeight="1" x14ac:dyDescent="0.35">
      <c r="B79" s="21" t="s">
        <v>125</v>
      </c>
      <c r="C79" s="20"/>
    </row>
    <row r="80" spans="1:8" ht="15" customHeight="1" x14ac:dyDescent="0.35">
      <c r="B80" s="21" t="s">
        <v>126</v>
      </c>
      <c r="C80" s="20"/>
    </row>
    <row r="81" spans="2:3" ht="15" customHeight="1" x14ac:dyDescent="0.35">
      <c r="B81" s="21" t="s">
        <v>127</v>
      </c>
      <c r="C81" s="22"/>
    </row>
    <row r="82" spans="2:3" ht="15" customHeight="1" x14ac:dyDescent="0.35">
      <c r="B82" s="21" t="s">
        <v>128</v>
      </c>
      <c r="C82" s="22"/>
    </row>
    <row r="83" spans="2:3" ht="15" customHeight="1" x14ac:dyDescent="0.35">
      <c r="B83" s="23" t="s">
        <v>129</v>
      </c>
      <c r="C83" s="24"/>
    </row>
    <row r="131" spans="2:7" hidden="1" x14ac:dyDescent="0.35"/>
    <row r="132" spans="2:7" hidden="1" x14ac:dyDescent="0.35"/>
    <row r="133" spans="2:7" hidden="1" x14ac:dyDescent="0.35">
      <c r="B133" s="29" t="s">
        <v>130</v>
      </c>
      <c r="C133" s="196">
        <f>_xlfn.IFNA(VLOOKUP($C$53,MeasureConfidence[[#All],[Measure Confidence Level]:[Confidence Score]],2,FALSE),0)</f>
        <v>0</v>
      </c>
      <c r="F133" s="58" t="s">
        <v>131</v>
      </c>
      <c r="G133" s="196">
        <f>_xlfn.IFNA(VLOOKUP($D$53,MeasureConfidence[[#All],[Measure Confidence Level]:[Confidence Score]],2,FALSE),0)</f>
        <v>0</v>
      </c>
    </row>
    <row r="134" spans="2:7" hidden="1" x14ac:dyDescent="0.35">
      <c r="B134" s="29" t="s">
        <v>132</v>
      </c>
      <c r="C134" s="196">
        <f>_xlfn.IFNA(VLOOKUP($G$53,MeasureConfidence[[#All],[Measure Confidence Level]:[Confidence Score]],2,FALSE),0)</f>
        <v>0</v>
      </c>
      <c r="F134" s="58" t="s">
        <v>133</v>
      </c>
      <c r="G134" s="196">
        <f>_xlfn.IFNA(VLOOKUP($H$53,MeasureConfidence[[#All],[Measure Confidence Level]:[Confidence Score]],2,FALSE),0)</f>
        <v>0</v>
      </c>
    </row>
    <row r="135" spans="2:7" hidden="1" x14ac:dyDescent="0.35">
      <c r="B135" s="29" t="s">
        <v>134</v>
      </c>
      <c r="C135" s="196">
        <f>_xlfn.IFNA(VLOOKUP($C$74,MeasureConfidence[[#All],[Measure Confidence Level]:[Confidence Score]],2,FALSE),0)</f>
        <v>0</v>
      </c>
      <c r="F135" s="58" t="s">
        <v>135</v>
      </c>
      <c r="G135" s="196">
        <f>_xlfn.IFNA(VLOOKUP($D$74,MeasureConfidence[[#All],[Measure Confidence Level]:[Confidence Score]],2,FALSE),0)</f>
        <v>0</v>
      </c>
    </row>
    <row r="136" spans="2:7" hidden="1" x14ac:dyDescent="0.35">
      <c r="B136" s="29" t="s">
        <v>136</v>
      </c>
      <c r="C136" s="196">
        <f>_xlfn.IFNA(VLOOKUP($G$74,MeasureConfidence[[#All],[Measure Confidence Level]:[Confidence Score]],2,FALSE),0)</f>
        <v>0</v>
      </c>
      <c r="F136" s="58" t="s">
        <v>137</v>
      </c>
      <c r="G136" s="196">
        <f>_xlfn.IFNA(VLOOKUP($H$74,MeasureConfidence[[#All],[Measure Confidence Level]:[Confidence Score]],2,FALSE),0)</f>
        <v>0</v>
      </c>
    </row>
    <row r="137" spans="2:7" hidden="1" x14ac:dyDescent="0.35">
      <c r="B137" s="29"/>
      <c r="C137" s="196"/>
      <c r="F137" s="58"/>
      <c r="G137" s="196"/>
    </row>
    <row r="138" spans="2:7" hidden="1" x14ac:dyDescent="0.35">
      <c r="B138" s="29" t="s">
        <v>138</v>
      </c>
      <c r="C138" s="196" t="e">
        <f>ROUND(AVERAGEIF(C133:C136,"&gt;0"),0)</f>
        <v>#DIV/0!</v>
      </c>
      <c r="F138" s="58" t="s">
        <v>138</v>
      </c>
      <c r="G138" s="196" t="e">
        <f>ROUND(AVERAGEIF(G133:G136,"&gt;0"),0)</f>
        <v>#DIV/0!</v>
      </c>
    </row>
    <row r="139" spans="2:7" hidden="1" x14ac:dyDescent="0.35">
      <c r="B139" s="29"/>
      <c r="C139" s="196"/>
      <c r="F139" s="58"/>
      <c r="G139" s="196"/>
    </row>
    <row r="140" spans="2:7" hidden="1" x14ac:dyDescent="0.35">
      <c r="B140" s="29" t="s">
        <v>139</v>
      </c>
      <c r="C140" s="196">
        <f>_xlfn.MINIFS(C133:C136,C133:C136,"&gt;0")</f>
        <v>0</v>
      </c>
      <c r="F140" s="58" t="s">
        <v>139</v>
      </c>
      <c r="G140" s="196">
        <f>_xlfn.MINIFS(G133:G136,G133:G136,"&gt;0")</f>
        <v>0</v>
      </c>
    </row>
    <row r="141" spans="2:7" hidden="1" x14ac:dyDescent="0.35"/>
    <row r="142" spans="2:7" hidden="1" x14ac:dyDescent="0.35"/>
    <row r="143" spans="2:7" hidden="1" x14ac:dyDescent="0.35"/>
    <row r="144" spans="2:7"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sheetData>
  <sheetProtection algorithmName="SHA-512" hashValue="mUTE5AUriI7paea58T0uvRevqetePFx2Bn4MzTbshQEv67IYOhOaT6wPuvXMcbI6fKyxEIfMz5zoDwvLr2wZEQ==" saltValue="NNxOYMz6rURTW4MzrXP4Xg==" spinCount="100000" sheet="1" formatColumns="0" formatRows="0"/>
  <dataConsolidate link="1"/>
  <mergeCells count="7">
    <mergeCell ref="G24:G25"/>
    <mergeCell ref="H24:H25"/>
    <mergeCell ref="B78:C78"/>
    <mergeCell ref="B21:B25"/>
    <mergeCell ref="C21:C25"/>
    <mergeCell ref="D21:D25"/>
    <mergeCell ref="F24:F25"/>
  </mergeCells>
  <dataValidations xWindow="627" yWindow="533" count="25">
    <dataValidation type="decimal" operator="greaterThan" allowBlank="1" showInputMessage="1" showErrorMessage="1" sqref="D43:D44 H43:H44 H64:H65 D64:D65" xr:uid="{3675DB4F-4AF2-4A8B-A9E3-4C6C3333A01A}">
      <formula1>0.0000000000001</formula1>
    </dataValidation>
    <dataValidation allowBlank="1" showInputMessage="1" showErrorMessage="1" prompt="Automatically populated when the Measure Name's cell is entered/filled" sqref="C35 G35 G56 C56" xr:uid="{137407FD-7E17-458A-B21A-55FD52B443F4}"/>
    <dataValidation type="decimal" operator="greaterThan" allowBlank="1" showInputMessage="1" showErrorMessage="1" error="Numerical value only please" prompt="Numerical value only please" sqref="C43:C44 G43:G44 G64:G65 C64:C65" xr:uid="{7D959E1C-2242-4CD3-A789-4C0560DEC08A}">
      <formula1>0.0000000000001</formula1>
    </dataValidation>
    <dataValidation type="date" errorStyle="warning" operator="greaterThan" allowBlank="1" showInputMessage="1" showErrorMessage="1" sqref="G21" xr:uid="{31A7AECF-E240-4AA2-8723-70A60A63433E}">
      <formula1>36526</formula1>
    </dataValidation>
    <dataValidation operator="greaterThanOrEqual" allowBlank="1" showInputMessage="1" showErrorMessage="1" sqref="C40" xr:uid="{58FCD3CB-9EDC-41BA-9985-DF557E610299}"/>
    <dataValidation allowBlank="1" showInputMessage="1" showErrorMessage="1" prompt="Automatically populated based on the latest Realisation End Date of the Measure/KPI date." sqref="G29" xr:uid="{893F6CE0-4796-44A5-B645-974DDB492D29}"/>
    <dataValidation allowBlank="1" showInputMessage="1" showErrorMessage="1" prompt="Automatically populated based on the earliest Realisation Start Date of the Measure/KPI date." sqref="G28" xr:uid="{D7FEBA6E-46F4-42F4-8E51-040879534CDB}"/>
    <dataValidation allowBlank="1" showInputMessage="1" showErrorMessage="1" prompt="Automatically calculated based on the lowest Benefit Confidence Level of the Measures/KPIs." sqref="G30" xr:uid="{7892BEA4-0F17-46BF-BA4D-42B8FB3C6B41}"/>
    <dataValidation type="decimal" allowBlank="1" showInputMessage="1" showErrorMessage="1" sqref="C48 G48 C69 G69" xr:uid="{D7F6181B-6945-4F6A-8015-E07013F43846}">
      <formula1>0</formula1>
      <formula2>1</formula2>
    </dataValidation>
    <dataValidation type="decimal" errorStyle="warning" allowBlank="1" showInputMessage="1" showErrorMessage="1" sqref="H48 D69 D48 H69" xr:uid="{40EBBF6E-2E90-4076-B82D-9C1421D770A3}">
      <formula1>0</formula1>
      <formula2>1</formula2>
    </dataValidation>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6:D47 C79:C80 C42:D42 G67:H68 G46:H47 C67:D68 G42:H42 G63:H63 C63:D63" xr:uid="{0422C5F3-FEAB-43FA-BFFD-1CE97959D1BD}">
      <formula1>1</formula1>
    </dataValidation>
    <dataValidation type="date" operator="greaterThan" allowBlank="1" showInputMessage="1" showErrorMessage="1" sqref="G23" xr:uid="{DEAEB13B-D1CE-42A3-8CED-950E072D6E00}">
      <formula1>36526</formula1>
    </dataValidation>
    <dataValidation errorStyle="information" allowBlank="1" showInputMessage="1" showErrorMessage="1" sqref="G22" xr:uid="{D2F378E8-CAE2-4268-8E48-0A6A22BB5522}"/>
    <dataValidation allowBlank="1" showInputMessage="1" showErrorMessage="1" prompt="DTA numbering system. Automatically populated when the DTA Investment ID is filled." sqref="C18" xr:uid="{B085ADF4-1AA8-4F08-BE49-3F6EE4CD4B3B}"/>
    <dataValidation allowBlank="1" showInputMessage="1" showErrorMessage="1" prompt="Benefit Endorsement fields will be automatically filled from Benefit Profile 1, except for date fields. _x000a_Please change if different." sqref="G18" xr:uid="{80BA63D3-778F-4DD4-B3AB-6F7D4A059F30}"/>
    <dataValidation type="list" allowBlank="1" showInputMessage="1" showErrorMessage="1" sqref="C29" xr:uid="{43D81F18-843D-4420-B986-C609E54CD780}">
      <formula1>"Please select, Benefit, Disbenefit"</formula1>
    </dataValidation>
    <dataValidation type="list" allowBlank="1" showInputMessage="1" showErrorMessage="1" sqref="C28" xr:uid="{A0BFC928-65AC-4543-AB75-FBEEE94C1281}">
      <formula1>"Please select, Financial - Cashable, Financial - Non-Cashable, Non-financial"</formula1>
    </dataValidation>
    <dataValidation type="list" allowBlank="1" showInputMessage="1" showErrorMessage="1" sqref="C32" xr:uid="{5A75DC5F-2F9B-4D94-AE91-5B571F3B76F0}">
      <formula1>"Please select, Data and digital foundations, Delivering for all people and business, Government for the future, Simple and seamless services, Trusted and secure"</formula1>
    </dataValidation>
    <dataValidation type="list" allowBlank="1" showInputMessage="1" showErrorMessage="1" sqref="C31" xr:uid="{FBB04251-F122-48BE-B65F-D249CB6E75E6}">
      <formula1>"Please select, Agency, Business, Citizen, Government"</formula1>
    </dataValidation>
    <dataValidation type="list" allowBlank="1" showInputMessage="1" showErrorMessage="1" sqref="C49 G49 C70 G70" xr:uid="{2F1BBC63-F58D-4DD1-8E7E-DD001DC97A58}">
      <formula1>"Please select, Weekly, Fortnightly, In planning, Monthly, Quarterly, Biannually, Year (calendar), Year (financial)"</formula1>
    </dataValidation>
    <dataValidation type="decimal" errorStyle="information" operator="lessThan" allowBlank="1" showInputMessage="1" showErrorMessage="1" error="Numerical value only please" prompt="Numerical value only please" sqref="C45:D45 C66:D66 G66:H66" xr:uid="{F8CC83EA-BC7C-4A64-97A8-984960439FEE}">
      <formula1>0</formula1>
    </dataValidation>
    <dataValidation type="list" operator="greaterThanOrEqual" allowBlank="1" showInputMessage="1" showErrorMessage="1" sqref="C41:D41" xr:uid="{C25CFDDF-F29A-4D13-BE51-25062BD04E57}">
      <formula1>"Please select, Increase, Decrease"</formula1>
    </dataValidation>
    <dataValidation type="list" allowBlank="1" showInputMessage="1" showErrorMessage="1" sqref="G41:H41 C62:D62 G62:H62" xr:uid="{6D9B8A8C-7033-4DC8-A3C5-5C0A8CB61E2E}">
      <formula1>"Please select, Increase, Decrease"</formula1>
    </dataValidation>
    <dataValidation type="decimal" errorStyle="information" operator="greaterThan" allowBlank="1" showInputMessage="1" showErrorMessage="1" error="Numerical value only please" prompt="Numerical value only please" sqref="G45:H45" xr:uid="{302FE2F5-E5A2-49C1-87BE-CB7D8D158E03}">
      <formula1>0</formula1>
    </dataValidation>
    <dataValidation allowBlank="1" showInputMessage="1" showErrorMessage="1" prompt="Investment Details - automatically filled from Benefit Profile 1." sqref="C10" xr:uid="{E088174E-49A0-404A-989A-E9EE57B69E76}"/>
  </dataValidations>
  <printOptions horizontalCentered="1"/>
  <pageMargins left="0" right="0" top="0.74803149606299213" bottom="0.35433070866141736" header="0.31496062992125984" footer="0.31496062992125984"/>
  <pageSetup paperSize="9" scale="71" orientation="portrait" r:id="rId1"/>
  <ignoredErrors>
    <ignoredError sqref="C12:C14 G18:H25" unlockedFormula="1"/>
  </ignoredErrors>
  <drawing r:id="rId2"/>
  <extLst>
    <ext xmlns:x14="http://schemas.microsoft.com/office/spreadsheetml/2009/9/main" uri="{CCE6A557-97BC-4b89-ADB6-D9C93CAAB3DF}">
      <x14:dataValidations xmlns:xm="http://schemas.microsoft.com/office/excel/2006/main" xWindow="627" yWindow="533" count="9">
        <x14:dataValidation type="list" allowBlank="1" showInputMessage="1" showErrorMessage="1" xr:uid="{D42FC3F1-1CD3-4299-A479-4A306A549235}">
          <x14:formula1>
            <xm:f>'0. PortfolioAgencyLinks'!$T$1:$T$193</xm:f>
          </x14:formula1>
          <xm:sqref>C13:C14</xm:sqref>
        </x14:dataValidation>
        <x14:dataValidation type="list" allowBlank="1" showInputMessage="1" showErrorMessage="1" xr:uid="{4D03BE99-3826-4A2E-A4E0-AF0379FBEAE6}">
          <x14:formula1>
            <xm:f>'Validation Table'!$D$3:$D$7</xm:f>
          </x14:formula1>
          <xm:sqref>D29</xm:sqref>
        </x14:dataValidation>
        <x14:dataValidation type="list" allowBlank="1" showInputMessage="1" showErrorMessage="1" xr:uid="{FABF1CD5-FED2-4BFA-9F78-125BD38EE2ED}">
          <x14:formula1>
            <xm:f>'Validation Table'!$H$3:$H$11</xm:f>
          </x14:formula1>
          <xm:sqref>D70 H49 D49 H70</xm:sqref>
        </x14:dataValidation>
        <x14:dataValidation type="list" allowBlank="1" showInputMessage="1" showErrorMessage="1" xr:uid="{88053333-773E-45A3-B51F-C1783E089D97}">
          <x14:formula1>
            <xm:f>'Validation Table'!$F$3:$F$8</xm:f>
          </x14:formula1>
          <xm:sqref>D32</xm:sqref>
        </x14:dataValidation>
        <x14:dataValidation type="list" allowBlank="1" showInputMessage="1" showErrorMessage="1" xr:uid="{D4150C21-A1DB-4BAD-B9E4-EFB3B8030B9A}">
          <x14:formula1>
            <xm:f>'Validation Table'!$E$3:$E$7</xm:f>
          </x14:formula1>
          <xm:sqref>D31</xm:sqref>
        </x14:dataValidation>
        <x14:dataValidation type="list" allowBlank="1" showInputMessage="1" showErrorMessage="1" xr:uid="{663CD331-499E-4E43-A44F-D8D6C7DFF03D}">
          <x14:formula1>
            <xm:f>'Validation Table'!$C$3:$C$17</xm:f>
          </x14:formula1>
          <xm:sqref>C30:D30</xm:sqref>
        </x14:dataValidation>
        <x14:dataValidation type="list" allowBlank="1" showInputMessage="1" showErrorMessage="1" xr:uid="{022EB4F7-D3DF-4236-827A-EB6911B6EB6C}">
          <x14:formula1>
            <xm:f>'Validation Table'!$B$3:$B$6</xm:f>
          </x14:formula1>
          <xm:sqref>D28</xm:sqref>
        </x14:dataValidation>
        <x14:dataValidation type="list" allowBlank="1" showInputMessage="1" showErrorMessage="1" xr:uid="{718BC7CD-A526-4067-A38E-32FABB0B8C2E}">
          <x14:formula1>
            <xm:f>'Validation Table'!$I$3:$I$8</xm:f>
          </x14:formula1>
          <xm:sqref>C53:D53 G53:H53 G74:H74 C74:D74</xm:sqref>
        </x14:dataValidation>
        <x14:dataValidation type="list" allowBlank="1" showInputMessage="1" showErrorMessage="1" prompt="Agency fields will be automatically filled from Benefit Profile 1. Please change if different." xr:uid="{83943F66-E002-49D7-B035-CA6725752922}">
          <x14:formula1>
            <xm:f>'0. PortfolioAgencyLinks'!$T$1:$T$193</xm:f>
          </x14:formula1>
          <xm:sqref>C12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F4E03-DDC9-4903-AAF3-4DE68866532A}">
  <sheetPr codeName="Sheet16">
    <tabColor rgb="FFC00000"/>
  </sheetPr>
  <dimension ref="B2:J35"/>
  <sheetViews>
    <sheetView showGridLines="0" workbookViewId="0">
      <selection activeCell="I39" sqref="I39"/>
    </sheetView>
  </sheetViews>
  <sheetFormatPr defaultRowHeight="14.5" x14ac:dyDescent="0.35"/>
  <cols>
    <col min="2" max="2" width="23" bestFit="1" customWidth="1"/>
    <col min="3" max="3" width="27.26953125" bestFit="1" customWidth="1"/>
    <col min="4" max="4" width="20" bestFit="1" customWidth="1"/>
    <col min="5" max="5" width="18.54296875" bestFit="1" customWidth="1"/>
    <col min="6" max="6" width="35.1796875" bestFit="1" customWidth="1"/>
    <col min="7" max="7" width="13.54296875" bestFit="1" customWidth="1"/>
    <col min="8" max="8" width="19.7265625" bestFit="1" customWidth="1"/>
    <col min="9" max="9" width="16.453125" bestFit="1" customWidth="1"/>
    <col min="10" max="10" width="36.54296875" bestFit="1" customWidth="1"/>
  </cols>
  <sheetData>
    <row r="2" spans="2:10" x14ac:dyDescent="0.35">
      <c r="B2" s="25" t="s">
        <v>51</v>
      </c>
      <c r="C2" s="25" t="s">
        <v>142</v>
      </c>
      <c r="D2" s="25" t="s">
        <v>53</v>
      </c>
      <c r="E2" s="25" t="s">
        <v>57</v>
      </c>
      <c r="F2" s="25" t="s">
        <v>59</v>
      </c>
      <c r="G2" s="25" t="s">
        <v>141</v>
      </c>
      <c r="H2" s="25" t="s">
        <v>92</v>
      </c>
      <c r="I2" s="25" t="s">
        <v>143</v>
      </c>
      <c r="J2" s="27" t="s">
        <v>144</v>
      </c>
    </row>
    <row r="3" spans="2:10" x14ac:dyDescent="0.35">
      <c r="B3" s="26" t="s">
        <v>104</v>
      </c>
      <c r="C3" s="26" t="s">
        <v>104</v>
      </c>
      <c r="D3" s="26" t="s">
        <v>104</v>
      </c>
      <c r="E3" s="26" t="s">
        <v>104</v>
      </c>
      <c r="F3" s="26" t="s">
        <v>104</v>
      </c>
      <c r="G3" s="26" t="s">
        <v>104</v>
      </c>
      <c r="H3" s="26" t="s">
        <v>104</v>
      </c>
      <c r="I3" s="26" t="s">
        <v>104</v>
      </c>
      <c r="J3" s="26" t="s">
        <v>104</v>
      </c>
    </row>
    <row r="4" spans="2:10" x14ac:dyDescent="0.35">
      <c r="B4" s="26" t="s">
        <v>145</v>
      </c>
      <c r="C4" s="26" t="s">
        <v>146</v>
      </c>
      <c r="D4" s="26" t="s">
        <v>147</v>
      </c>
      <c r="E4" s="26" t="s">
        <v>148</v>
      </c>
      <c r="F4" s="26" t="s">
        <v>149</v>
      </c>
      <c r="G4" s="26" t="s">
        <v>150</v>
      </c>
      <c r="H4" s="26" t="s">
        <v>151</v>
      </c>
      <c r="I4" s="26" t="s">
        <v>152</v>
      </c>
      <c r="J4" s="94" t="s">
        <v>153</v>
      </c>
    </row>
    <row r="5" spans="2:10" x14ac:dyDescent="0.35">
      <c r="B5" s="26" t="s">
        <v>154</v>
      </c>
      <c r="C5" s="26" t="s">
        <v>155</v>
      </c>
      <c r="D5" s="26" t="s">
        <v>156</v>
      </c>
      <c r="E5" s="26" t="s">
        <v>157</v>
      </c>
      <c r="F5" s="26" t="s">
        <v>158</v>
      </c>
      <c r="G5" s="26" t="s">
        <v>159</v>
      </c>
      <c r="H5" s="26" t="s">
        <v>160</v>
      </c>
      <c r="I5" s="26" t="s">
        <v>161</v>
      </c>
      <c r="J5" s="94" t="s">
        <v>162</v>
      </c>
    </row>
    <row r="6" spans="2:10" x14ac:dyDescent="0.35">
      <c r="B6" s="26" t="s">
        <v>163</v>
      </c>
      <c r="C6" s="26" t="s">
        <v>164</v>
      </c>
      <c r="E6" s="26" t="s">
        <v>165</v>
      </c>
      <c r="F6" s="26" t="s">
        <v>166</v>
      </c>
      <c r="G6" s="26"/>
      <c r="H6" s="26" t="s">
        <v>167</v>
      </c>
      <c r="I6" s="26" t="s">
        <v>168</v>
      </c>
      <c r="J6" s="94" t="s">
        <v>169</v>
      </c>
    </row>
    <row r="7" spans="2:10" x14ac:dyDescent="0.35">
      <c r="B7" s="26"/>
      <c r="C7" s="26" t="s">
        <v>170</v>
      </c>
      <c r="D7" s="26"/>
      <c r="E7" s="26" t="s">
        <v>171</v>
      </c>
      <c r="F7" s="26" t="s">
        <v>172</v>
      </c>
      <c r="G7" s="26"/>
      <c r="H7" s="26" t="s">
        <v>173</v>
      </c>
      <c r="I7" s="26" t="s">
        <v>174</v>
      </c>
      <c r="J7" s="94" t="s">
        <v>175</v>
      </c>
    </row>
    <row r="8" spans="2:10" x14ac:dyDescent="0.35">
      <c r="B8" s="26"/>
      <c r="C8" s="26" t="s">
        <v>176</v>
      </c>
      <c r="D8" s="26"/>
      <c r="E8" s="26"/>
      <c r="F8" s="26" t="s">
        <v>177</v>
      </c>
      <c r="G8" s="26"/>
      <c r="H8" s="26" t="s">
        <v>178</v>
      </c>
      <c r="I8" s="26" t="s">
        <v>179</v>
      </c>
      <c r="J8" s="94" t="s">
        <v>180</v>
      </c>
    </row>
    <row r="9" spans="2:10" x14ac:dyDescent="0.35">
      <c r="B9" s="26"/>
      <c r="C9" s="26" t="s">
        <v>181</v>
      </c>
      <c r="D9" s="26"/>
      <c r="E9" s="26"/>
      <c r="F9" s="26"/>
      <c r="G9" s="26"/>
      <c r="H9" s="26" t="s">
        <v>182</v>
      </c>
      <c r="I9" s="26"/>
      <c r="J9" s="26"/>
    </row>
    <row r="10" spans="2:10" x14ac:dyDescent="0.35">
      <c r="B10" s="26"/>
      <c r="C10" s="26" t="s">
        <v>183</v>
      </c>
      <c r="D10" s="26"/>
      <c r="E10" s="26"/>
      <c r="F10" s="26"/>
      <c r="G10" s="26"/>
      <c r="H10" s="26" t="s">
        <v>184</v>
      </c>
      <c r="I10" s="26"/>
      <c r="J10" s="26"/>
    </row>
    <row r="11" spans="2:10" x14ac:dyDescent="0.35">
      <c r="B11" s="26"/>
      <c r="C11" s="26" t="s">
        <v>185</v>
      </c>
      <c r="D11" s="26"/>
      <c r="E11" s="26"/>
      <c r="F11" s="26"/>
      <c r="G11" s="26"/>
      <c r="H11" s="26" t="s">
        <v>186</v>
      </c>
      <c r="I11" s="26"/>
      <c r="J11" s="26"/>
    </row>
    <row r="12" spans="2:10" x14ac:dyDescent="0.35">
      <c r="B12" s="26"/>
      <c r="C12" s="26" t="s">
        <v>187</v>
      </c>
      <c r="D12" s="26"/>
      <c r="E12" s="26"/>
      <c r="F12" s="26"/>
      <c r="G12" s="26"/>
      <c r="H12" s="26"/>
      <c r="I12" s="26"/>
      <c r="J12" s="26"/>
    </row>
    <row r="13" spans="2:10" x14ac:dyDescent="0.35">
      <c r="B13" s="26"/>
      <c r="C13" s="26" t="s">
        <v>188</v>
      </c>
      <c r="D13" s="26"/>
      <c r="E13" s="26"/>
      <c r="F13" s="26"/>
      <c r="G13" s="26"/>
      <c r="H13" s="26"/>
      <c r="I13" s="26"/>
      <c r="J13" s="26"/>
    </row>
    <row r="14" spans="2:10" x14ac:dyDescent="0.35">
      <c r="B14" s="26"/>
      <c r="C14" s="26" t="s">
        <v>189</v>
      </c>
      <c r="D14" s="26"/>
      <c r="E14" s="26"/>
      <c r="F14" s="26"/>
      <c r="G14" s="26"/>
      <c r="H14" s="26"/>
      <c r="I14" s="26"/>
      <c r="J14" s="26"/>
    </row>
    <row r="15" spans="2:10" x14ac:dyDescent="0.35">
      <c r="B15" s="26"/>
      <c r="C15" s="26" t="s">
        <v>190</v>
      </c>
      <c r="D15" s="26"/>
      <c r="E15" s="26"/>
      <c r="F15" s="26"/>
      <c r="G15" s="26"/>
      <c r="H15" s="26"/>
      <c r="I15" s="26"/>
      <c r="J15" s="26"/>
    </row>
    <row r="16" spans="2:10" x14ac:dyDescent="0.35">
      <c r="B16" s="26"/>
      <c r="C16" s="26" t="s">
        <v>191</v>
      </c>
      <c r="D16" s="26"/>
      <c r="E16" s="26"/>
      <c r="F16" s="26"/>
      <c r="G16" s="26"/>
      <c r="H16" s="26"/>
      <c r="I16" s="26"/>
      <c r="J16" s="26"/>
    </row>
    <row r="17" spans="2:10" x14ac:dyDescent="0.35">
      <c r="B17" s="26"/>
      <c r="C17" s="26" t="s">
        <v>192</v>
      </c>
      <c r="D17" s="26"/>
      <c r="E17" s="26"/>
      <c r="F17" s="26"/>
      <c r="G17" s="26"/>
      <c r="H17" s="26"/>
      <c r="I17" s="26"/>
      <c r="J17" s="26"/>
    </row>
    <row r="20" spans="2:10" x14ac:dyDescent="0.35">
      <c r="B20" t="s">
        <v>193</v>
      </c>
      <c r="C20" t="s">
        <v>446</v>
      </c>
      <c r="E20" t="s">
        <v>193</v>
      </c>
      <c r="F20" t="s">
        <v>444</v>
      </c>
      <c r="H20" s="25" t="s">
        <v>100</v>
      </c>
      <c r="I20" s="25" t="s">
        <v>194</v>
      </c>
      <c r="J20" s="25" t="s">
        <v>195</v>
      </c>
    </row>
    <row r="21" spans="2:10" x14ac:dyDescent="0.35">
      <c r="B21" s="95" t="s">
        <v>102</v>
      </c>
      <c r="C21" s="95">
        <v>1</v>
      </c>
      <c r="E21" s="95" t="s">
        <v>102</v>
      </c>
      <c r="F21" s="95">
        <v>1</v>
      </c>
      <c r="H21" s="28" t="s">
        <v>104</v>
      </c>
      <c r="I21" s="29">
        <v>0</v>
      </c>
      <c r="J21" s="29"/>
    </row>
    <row r="22" spans="2:10" x14ac:dyDescent="0.35">
      <c r="B22" s="95" t="s">
        <v>140</v>
      </c>
      <c r="C22" s="95">
        <v>2</v>
      </c>
      <c r="E22" s="95" t="s">
        <v>140</v>
      </c>
      <c r="F22" s="95">
        <v>2</v>
      </c>
      <c r="H22" s="29" t="s">
        <v>152</v>
      </c>
      <c r="I22" s="29">
        <v>1</v>
      </c>
      <c r="J22" s="29" t="s">
        <v>152</v>
      </c>
    </row>
    <row r="23" spans="2:10" x14ac:dyDescent="0.35">
      <c r="B23" s="95" t="s">
        <v>196</v>
      </c>
      <c r="C23" s="95">
        <v>3</v>
      </c>
      <c r="E23" s="95" t="s">
        <v>196</v>
      </c>
      <c r="F23" s="95">
        <v>3</v>
      </c>
      <c r="H23" s="29" t="s">
        <v>161</v>
      </c>
      <c r="I23" s="29">
        <v>2</v>
      </c>
      <c r="J23" s="29" t="s">
        <v>161</v>
      </c>
    </row>
    <row r="24" spans="2:10" x14ac:dyDescent="0.35">
      <c r="B24" s="95" t="s">
        <v>197</v>
      </c>
      <c r="C24" s="95">
        <v>4</v>
      </c>
      <c r="E24" s="95" t="s">
        <v>197</v>
      </c>
      <c r="F24" s="95">
        <v>4</v>
      </c>
      <c r="H24" s="29" t="s">
        <v>168</v>
      </c>
      <c r="I24" s="29">
        <v>3</v>
      </c>
      <c r="J24" s="29" t="s">
        <v>168</v>
      </c>
    </row>
    <row r="25" spans="2:10" x14ac:dyDescent="0.35">
      <c r="B25" s="95" t="s">
        <v>198</v>
      </c>
      <c r="C25" s="95">
        <v>5</v>
      </c>
      <c r="E25" s="95" t="s">
        <v>198</v>
      </c>
      <c r="F25" s="95">
        <v>5</v>
      </c>
      <c r="H25" s="29" t="s">
        <v>174</v>
      </c>
      <c r="I25" s="29">
        <v>4</v>
      </c>
      <c r="J25" s="29" t="s">
        <v>174</v>
      </c>
    </row>
    <row r="26" spans="2:10" x14ac:dyDescent="0.35">
      <c r="B26" s="95" t="s">
        <v>199</v>
      </c>
      <c r="C26" s="95">
        <v>6</v>
      </c>
      <c r="E26" s="95" t="s">
        <v>199</v>
      </c>
      <c r="F26" s="95">
        <v>6</v>
      </c>
      <c r="H26" s="29" t="s">
        <v>179</v>
      </c>
      <c r="I26" s="29">
        <v>5</v>
      </c>
      <c r="J26" s="29" t="s">
        <v>179</v>
      </c>
    </row>
    <row r="27" spans="2:10" x14ac:dyDescent="0.35">
      <c r="B27" s="95" t="s">
        <v>200</v>
      </c>
      <c r="C27" s="95">
        <v>7</v>
      </c>
      <c r="E27" s="95" t="s">
        <v>200</v>
      </c>
      <c r="F27" s="95">
        <v>7</v>
      </c>
    </row>
    <row r="28" spans="2:10" x14ac:dyDescent="0.35">
      <c r="B28" s="95" t="s">
        <v>201</v>
      </c>
      <c r="C28" s="95">
        <v>8</v>
      </c>
      <c r="E28" s="95" t="s">
        <v>201</v>
      </c>
      <c r="F28" s="95">
        <v>8</v>
      </c>
    </row>
    <row r="29" spans="2:10" x14ac:dyDescent="0.35">
      <c r="B29" s="95" t="s">
        <v>202</v>
      </c>
      <c r="C29" s="95">
        <v>9</v>
      </c>
      <c r="E29" s="95" t="s">
        <v>202</v>
      </c>
      <c r="F29" s="95">
        <v>9</v>
      </c>
    </row>
    <row r="30" spans="2:10" x14ac:dyDescent="0.35">
      <c r="B30" s="95" t="s">
        <v>203</v>
      </c>
      <c r="C30" s="95">
        <v>10</v>
      </c>
      <c r="E30" s="95" t="s">
        <v>203</v>
      </c>
      <c r="F30" s="95">
        <v>10</v>
      </c>
    </row>
    <row r="31" spans="2:10" x14ac:dyDescent="0.35">
      <c r="B31" s="95"/>
      <c r="C31" s="95"/>
      <c r="E31" s="95"/>
      <c r="F31" s="95"/>
    </row>
    <row r="32" spans="2:10" x14ac:dyDescent="0.35">
      <c r="B32" s="95"/>
      <c r="C32" s="95"/>
      <c r="E32" s="95"/>
      <c r="F32" s="95"/>
    </row>
    <row r="33" spans="2:6" x14ac:dyDescent="0.35">
      <c r="B33" s="95"/>
      <c r="C33" s="95"/>
      <c r="E33" s="95"/>
      <c r="F33" s="95"/>
    </row>
    <row r="34" spans="2:6" x14ac:dyDescent="0.35">
      <c r="B34" s="95"/>
      <c r="C34" s="95"/>
      <c r="E34" s="95"/>
      <c r="F34" s="95"/>
    </row>
    <row r="35" spans="2:6" x14ac:dyDescent="0.35">
      <c r="B35" s="95"/>
      <c r="C35" s="95"/>
      <c r="E35" s="95"/>
      <c r="F35" s="95"/>
    </row>
  </sheetData>
  <sheetProtection formatCells="0" formatColumns="0" formatRows="0" insertColumns="0" insertRows="0" deleteColumns="0" deleteRows="0"/>
  <phoneticPr fontId="28" type="noConversion"/>
  <conditionalFormatting sqref="C4:C17">
    <cfRule type="duplicateValues" dxfId="0" priority="1"/>
  </conditionalFormatting>
  <pageMargins left="0.7" right="0.7" top="0.75" bottom="0.75" header="0.3" footer="0.3"/>
  <tableParts count="4">
    <tablePart r:id="rId1"/>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49C11-441A-411B-8922-9DEA1B966015}">
  <sheetPr codeName="Sheet10">
    <tabColor rgb="FFC00000"/>
  </sheetPr>
  <dimension ref="A1:U193"/>
  <sheetViews>
    <sheetView showFormulas="1" topLeftCell="J1" zoomScale="70" zoomScaleNormal="70" zoomScaleSheetLayoutView="70" workbookViewId="0">
      <selection activeCell="K22" sqref="K22"/>
    </sheetView>
  </sheetViews>
  <sheetFormatPr defaultColWidth="46.1796875" defaultRowHeight="14.5" x14ac:dyDescent="0.35"/>
  <cols>
    <col min="6" max="6" width="66.26953125" customWidth="1"/>
    <col min="18" max="18" width="4.1796875" customWidth="1"/>
    <col min="19" max="19" width="4.81640625" customWidth="1"/>
  </cols>
  <sheetData>
    <row r="1" spans="1:21" x14ac:dyDescent="0.35">
      <c r="A1" t="s">
        <v>204</v>
      </c>
      <c r="B1" t="s">
        <v>205</v>
      </c>
      <c r="C1" t="s">
        <v>206</v>
      </c>
      <c r="D1" t="s">
        <v>207</v>
      </c>
      <c r="E1" t="s">
        <v>208</v>
      </c>
      <c r="F1" t="s">
        <v>209</v>
      </c>
      <c r="G1" t="s">
        <v>210</v>
      </c>
      <c r="H1" t="s">
        <v>211</v>
      </c>
      <c r="I1" t="s">
        <v>212</v>
      </c>
      <c r="J1" t="s">
        <v>213</v>
      </c>
      <c r="K1" t="s">
        <v>214</v>
      </c>
      <c r="L1" t="s">
        <v>215</v>
      </c>
      <c r="M1" t="s">
        <v>216</v>
      </c>
      <c r="N1" t="s">
        <v>217</v>
      </c>
      <c r="O1" t="s">
        <v>218</v>
      </c>
      <c r="P1" t="s">
        <v>219</v>
      </c>
      <c r="Q1" t="s">
        <v>220</v>
      </c>
      <c r="T1" t="s">
        <v>104</v>
      </c>
      <c r="U1" t="s">
        <v>221</v>
      </c>
    </row>
    <row r="2" spans="1:21" x14ac:dyDescent="0.35">
      <c r="A2" t="s">
        <v>222</v>
      </c>
      <c r="B2" t="s">
        <v>223</v>
      </c>
      <c r="C2" t="s">
        <v>224</v>
      </c>
      <c r="D2" t="s">
        <v>225</v>
      </c>
      <c r="E2" t="s">
        <v>226</v>
      </c>
      <c r="F2" t="s">
        <v>227</v>
      </c>
      <c r="G2" t="s">
        <v>228</v>
      </c>
      <c r="H2" t="s">
        <v>229</v>
      </c>
      <c r="I2" t="s">
        <v>230</v>
      </c>
      <c r="J2" t="s">
        <v>231</v>
      </c>
      <c r="K2" t="s">
        <v>232</v>
      </c>
      <c r="L2" t="s">
        <v>233</v>
      </c>
      <c r="M2" t="s">
        <v>234</v>
      </c>
      <c r="N2" t="s">
        <v>235</v>
      </c>
      <c r="O2" t="s">
        <v>236</v>
      </c>
      <c r="P2" t="s">
        <v>237</v>
      </c>
      <c r="Q2" t="s">
        <v>238</v>
      </c>
      <c r="T2" t="s">
        <v>239</v>
      </c>
      <c r="U2" t="s">
        <v>240</v>
      </c>
    </row>
    <row r="3" spans="1:21" x14ac:dyDescent="0.35">
      <c r="A3" t="s">
        <v>241</v>
      </c>
      <c r="B3" t="s">
        <v>242</v>
      </c>
      <c r="C3" t="s">
        <v>243</v>
      </c>
      <c r="D3" t="s">
        <v>244</v>
      </c>
      <c r="E3" t="s">
        <v>245</v>
      </c>
      <c r="F3" t="s">
        <v>246</v>
      </c>
      <c r="G3" t="s">
        <v>247</v>
      </c>
      <c r="H3" t="s">
        <v>248</v>
      </c>
      <c r="I3" t="s">
        <v>249</v>
      </c>
      <c r="J3" t="s">
        <v>250</v>
      </c>
      <c r="K3" t="s">
        <v>251</v>
      </c>
      <c r="L3" t="s">
        <v>252</v>
      </c>
      <c r="M3" t="s">
        <v>253</v>
      </c>
      <c r="N3" t="s">
        <v>254</v>
      </c>
      <c r="O3" t="s">
        <v>255</v>
      </c>
      <c r="P3" t="s">
        <v>256</v>
      </c>
      <c r="Q3" t="s">
        <v>257</v>
      </c>
      <c r="T3" t="s">
        <v>225</v>
      </c>
      <c r="U3" t="s">
        <v>240</v>
      </c>
    </row>
    <row r="4" spans="1:21" x14ac:dyDescent="0.35">
      <c r="A4" t="s">
        <v>258</v>
      </c>
      <c r="B4" t="s">
        <v>259</v>
      </c>
      <c r="C4" t="s">
        <v>260</v>
      </c>
      <c r="D4" t="s">
        <v>261</v>
      </c>
      <c r="E4" t="s">
        <v>262</v>
      </c>
      <c r="F4" t="s">
        <v>263</v>
      </c>
      <c r="G4" t="s">
        <v>264</v>
      </c>
      <c r="H4" t="s">
        <v>265</v>
      </c>
      <c r="I4" t="s">
        <v>266</v>
      </c>
      <c r="J4" t="s">
        <v>267</v>
      </c>
      <c r="K4" t="s">
        <v>268</v>
      </c>
      <c r="L4" t="s">
        <v>269</v>
      </c>
      <c r="M4" t="s">
        <v>270</v>
      </c>
      <c r="N4" t="s">
        <v>271</v>
      </c>
      <c r="O4" t="s">
        <v>272</v>
      </c>
      <c r="P4" t="s">
        <v>273</v>
      </c>
      <c r="T4" t="s">
        <v>235</v>
      </c>
      <c r="U4" t="s">
        <v>274</v>
      </c>
    </row>
    <row r="5" spans="1:21" x14ac:dyDescent="0.35">
      <c r="A5" t="s">
        <v>275</v>
      </c>
      <c r="B5" t="s">
        <v>276</v>
      </c>
      <c r="C5" t="s">
        <v>277</v>
      </c>
      <c r="D5" t="s">
        <v>278</v>
      </c>
      <c r="E5" t="s">
        <v>279</v>
      </c>
      <c r="F5" t="s">
        <v>280</v>
      </c>
      <c r="G5" t="s">
        <v>281</v>
      </c>
      <c r="H5" t="s">
        <v>282</v>
      </c>
      <c r="I5" t="s">
        <v>283</v>
      </c>
      <c r="K5" t="s">
        <v>284</v>
      </c>
      <c r="L5" t="s">
        <v>285</v>
      </c>
      <c r="M5" t="s">
        <v>286</v>
      </c>
      <c r="N5" t="s">
        <v>287</v>
      </c>
      <c r="O5" t="s">
        <v>288</v>
      </c>
      <c r="P5" t="s">
        <v>289</v>
      </c>
      <c r="T5" t="s">
        <v>223</v>
      </c>
      <c r="U5" t="s">
        <v>274</v>
      </c>
    </row>
    <row r="6" spans="1:21" x14ac:dyDescent="0.35">
      <c r="A6" t="s">
        <v>290</v>
      </c>
      <c r="B6" t="s">
        <v>291</v>
      </c>
      <c r="C6" t="s">
        <v>292</v>
      </c>
      <c r="D6" t="s">
        <v>293</v>
      </c>
      <c r="E6" t="s">
        <v>294</v>
      </c>
      <c r="F6" t="s">
        <v>295</v>
      </c>
      <c r="G6" t="s">
        <v>296</v>
      </c>
      <c r="H6" t="s">
        <v>297</v>
      </c>
      <c r="I6" t="s">
        <v>298</v>
      </c>
      <c r="K6" t="s">
        <v>299</v>
      </c>
      <c r="L6" t="s">
        <v>300</v>
      </c>
      <c r="N6" t="s">
        <v>301</v>
      </c>
      <c r="O6" t="s">
        <v>302</v>
      </c>
      <c r="P6" t="s">
        <v>303</v>
      </c>
      <c r="T6" t="s">
        <v>230</v>
      </c>
      <c r="U6" t="s">
        <v>304</v>
      </c>
    </row>
    <row r="7" spans="1:21" x14ac:dyDescent="0.35">
      <c r="A7" t="s">
        <v>305</v>
      </c>
      <c r="B7" t="s">
        <v>306</v>
      </c>
      <c r="C7" t="s">
        <v>307</v>
      </c>
      <c r="D7" t="s">
        <v>308</v>
      </c>
      <c r="E7" t="s">
        <v>309</v>
      </c>
      <c r="F7" t="s">
        <v>310</v>
      </c>
      <c r="G7" t="s">
        <v>311</v>
      </c>
      <c r="H7" t="s">
        <v>312</v>
      </c>
      <c r="I7" t="s">
        <v>313</v>
      </c>
      <c r="K7" t="s">
        <v>314</v>
      </c>
      <c r="L7" t="s">
        <v>315</v>
      </c>
      <c r="N7" t="s">
        <v>316</v>
      </c>
      <c r="O7" t="s">
        <v>317</v>
      </c>
      <c r="P7" t="s">
        <v>318</v>
      </c>
      <c r="T7" t="s">
        <v>233</v>
      </c>
      <c r="U7" t="s">
        <v>304</v>
      </c>
    </row>
    <row r="8" spans="1:21" x14ac:dyDescent="0.35">
      <c r="A8" t="s">
        <v>319</v>
      </c>
      <c r="B8" t="s">
        <v>320</v>
      </c>
      <c r="C8" t="s">
        <v>321</v>
      </c>
      <c r="D8" t="s">
        <v>322</v>
      </c>
      <c r="F8" t="s">
        <v>323</v>
      </c>
      <c r="G8" t="s">
        <v>324</v>
      </c>
      <c r="I8" t="s">
        <v>325</v>
      </c>
      <c r="K8" t="s">
        <v>326</v>
      </c>
      <c r="L8" t="s">
        <v>327</v>
      </c>
      <c r="N8" t="s">
        <v>328</v>
      </c>
      <c r="O8" t="s">
        <v>329</v>
      </c>
      <c r="P8" t="s">
        <v>330</v>
      </c>
      <c r="T8" t="s">
        <v>254</v>
      </c>
      <c r="U8" t="s">
        <v>304</v>
      </c>
    </row>
    <row r="9" spans="1:21" x14ac:dyDescent="0.35">
      <c r="A9" t="s">
        <v>331</v>
      </c>
      <c r="B9" t="s">
        <v>332</v>
      </c>
      <c r="C9" t="s">
        <v>333</v>
      </c>
      <c r="D9" t="s">
        <v>334</v>
      </c>
      <c r="F9" t="s">
        <v>335</v>
      </c>
      <c r="G9" t="s">
        <v>336</v>
      </c>
      <c r="I9" t="s">
        <v>337</v>
      </c>
      <c r="L9" t="s">
        <v>338</v>
      </c>
      <c r="N9" t="s">
        <v>339</v>
      </c>
      <c r="P9" t="s">
        <v>340</v>
      </c>
      <c r="T9" t="s">
        <v>244</v>
      </c>
      <c r="U9" t="s">
        <v>274</v>
      </c>
    </row>
    <row r="10" spans="1:21" x14ac:dyDescent="0.35">
      <c r="A10" t="s">
        <v>341</v>
      </c>
      <c r="B10" t="s">
        <v>342</v>
      </c>
      <c r="C10" t="s">
        <v>343</v>
      </c>
      <c r="D10" t="s">
        <v>344</v>
      </c>
      <c r="F10" t="s">
        <v>345</v>
      </c>
      <c r="G10" t="s">
        <v>346</v>
      </c>
      <c r="I10" t="s">
        <v>347</v>
      </c>
      <c r="L10" t="s">
        <v>348</v>
      </c>
      <c r="N10" t="s">
        <v>349</v>
      </c>
      <c r="P10" t="s">
        <v>350</v>
      </c>
      <c r="T10" t="s">
        <v>227</v>
      </c>
      <c r="U10" t="s">
        <v>240</v>
      </c>
    </row>
    <row r="11" spans="1:21" x14ac:dyDescent="0.35">
      <c r="B11" t="s">
        <v>351</v>
      </c>
      <c r="C11" t="s">
        <v>352</v>
      </c>
      <c r="D11" t="s">
        <v>353</v>
      </c>
      <c r="I11" t="s">
        <v>354</v>
      </c>
      <c r="L11" t="s">
        <v>355</v>
      </c>
      <c r="N11" t="s">
        <v>356</v>
      </c>
      <c r="P11" t="s">
        <v>357</v>
      </c>
      <c r="T11" t="s">
        <v>228</v>
      </c>
      <c r="U11" t="s">
        <v>274</v>
      </c>
    </row>
    <row r="12" spans="1:21" x14ac:dyDescent="0.35">
      <c r="B12" t="s">
        <v>358</v>
      </c>
      <c r="C12" t="s">
        <v>359</v>
      </c>
      <c r="D12" t="s">
        <v>360</v>
      </c>
      <c r="I12" t="s">
        <v>361</v>
      </c>
      <c r="L12" t="s">
        <v>362</v>
      </c>
      <c r="N12" t="s">
        <v>363</v>
      </c>
      <c r="P12" t="s">
        <v>364</v>
      </c>
      <c r="T12" t="s">
        <v>242</v>
      </c>
      <c r="U12" t="s">
        <v>304</v>
      </c>
    </row>
    <row r="13" spans="1:21" x14ac:dyDescent="0.35">
      <c r="B13" t="s">
        <v>365</v>
      </c>
      <c r="C13" t="s">
        <v>366</v>
      </c>
      <c r="D13" t="s">
        <v>367</v>
      </c>
      <c r="I13" t="s">
        <v>368</v>
      </c>
      <c r="L13" t="s">
        <v>369</v>
      </c>
      <c r="N13" t="s">
        <v>370</v>
      </c>
      <c r="P13" t="s">
        <v>371</v>
      </c>
      <c r="T13" t="s">
        <v>252</v>
      </c>
      <c r="U13" t="s">
        <v>304</v>
      </c>
    </row>
    <row r="14" spans="1:21" x14ac:dyDescent="0.35">
      <c r="B14" t="s">
        <v>372</v>
      </c>
      <c r="D14" t="s">
        <v>373</v>
      </c>
      <c r="I14" t="s">
        <v>374</v>
      </c>
      <c r="L14" t="s">
        <v>375</v>
      </c>
      <c r="N14" t="s">
        <v>376</v>
      </c>
      <c r="P14" t="s">
        <v>377</v>
      </c>
      <c r="T14" t="s">
        <v>269</v>
      </c>
      <c r="U14" t="s">
        <v>274</v>
      </c>
    </row>
    <row r="15" spans="1:21" x14ac:dyDescent="0.35">
      <c r="B15" t="s">
        <v>378</v>
      </c>
      <c r="I15" t="s">
        <v>379</v>
      </c>
      <c r="L15" t="s">
        <v>380</v>
      </c>
      <c r="N15" t="s">
        <v>381</v>
      </c>
      <c r="P15" t="s">
        <v>382</v>
      </c>
      <c r="T15" t="s">
        <v>237</v>
      </c>
      <c r="U15" t="s">
        <v>274</v>
      </c>
    </row>
    <row r="16" spans="1:21" x14ac:dyDescent="0.35">
      <c r="B16" t="s">
        <v>383</v>
      </c>
      <c r="I16" t="s">
        <v>384</v>
      </c>
      <c r="L16" t="s">
        <v>385</v>
      </c>
      <c r="N16" t="s">
        <v>386</v>
      </c>
      <c r="P16" t="s">
        <v>387</v>
      </c>
      <c r="T16" t="s">
        <v>229</v>
      </c>
      <c r="U16" t="s">
        <v>304</v>
      </c>
    </row>
    <row r="17" spans="2:21" x14ac:dyDescent="0.35">
      <c r="B17" t="s">
        <v>388</v>
      </c>
      <c r="I17" t="s">
        <v>389</v>
      </c>
      <c r="L17" t="s">
        <v>390</v>
      </c>
      <c r="N17" t="s">
        <v>391</v>
      </c>
      <c r="P17" t="s">
        <v>392</v>
      </c>
      <c r="T17" t="s">
        <v>249</v>
      </c>
      <c r="U17" t="s">
        <v>274</v>
      </c>
    </row>
    <row r="18" spans="2:21" x14ac:dyDescent="0.35">
      <c r="B18" t="s">
        <v>393</v>
      </c>
      <c r="I18" t="s">
        <v>394</v>
      </c>
      <c r="L18" t="s">
        <v>395</v>
      </c>
      <c r="N18" t="s">
        <v>396</v>
      </c>
      <c r="P18" t="s">
        <v>397</v>
      </c>
      <c r="T18" t="s">
        <v>285</v>
      </c>
      <c r="U18" t="s">
        <v>274</v>
      </c>
    </row>
    <row r="19" spans="2:21" x14ac:dyDescent="0.35">
      <c r="I19" t="s">
        <v>398</v>
      </c>
      <c r="L19" t="s">
        <v>399</v>
      </c>
      <c r="N19" t="s">
        <v>400</v>
      </c>
      <c r="T19" t="s">
        <v>256</v>
      </c>
      <c r="U19" t="s">
        <v>274</v>
      </c>
    </row>
    <row r="20" spans="2:21" x14ac:dyDescent="0.35">
      <c r="I20" t="s">
        <v>401</v>
      </c>
      <c r="L20" t="s">
        <v>402</v>
      </c>
      <c r="N20" t="s">
        <v>403</v>
      </c>
      <c r="T20" t="s">
        <v>259</v>
      </c>
      <c r="U20" t="s">
        <v>304</v>
      </c>
    </row>
    <row r="21" spans="2:21" x14ac:dyDescent="0.35">
      <c r="L21" t="s">
        <v>404</v>
      </c>
      <c r="N21" t="s">
        <v>405</v>
      </c>
      <c r="T21" t="s">
        <v>226</v>
      </c>
      <c r="U21" t="s">
        <v>304</v>
      </c>
    </row>
    <row r="22" spans="2:21" x14ac:dyDescent="0.35">
      <c r="L22" t="s">
        <v>406</v>
      </c>
      <c r="T22" t="s">
        <v>266</v>
      </c>
      <c r="U22" t="s">
        <v>274</v>
      </c>
    </row>
    <row r="23" spans="2:21" x14ac:dyDescent="0.35">
      <c r="L23" t="s">
        <v>407</v>
      </c>
      <c r="T23" t="s">
        <v>247</v>
      </c>
      <c r="U23" t="s">
        <v>274</v>
      </c>
    </row>
    <row r="24" spans="2:21" x14ac:dyDescent="0.35">
      <c r="L24" t="s">
        <v>408</v>
      </c>
      <c r="T24" t="s">
        <v>276</v>
      </c>
      <c r="U24" t="s">
        <v>304</v>
      </c>
    </row>
    <row r="25" spans="2:21" x14ac:dyDescent="0.35">
      <c r="L25" t="s">
        <v>409</v>
      </c>
      <c r="T25" t="s">
        <v>300</v>
      </c>
      <c r="U25" t="s">
        <v>274</v>
      </c>
    </row>
    <row r="26" spans="2:21" x14ac:dyDescent="0.35">
      <c r="L26" t="s">
        <v>410</v>
      </c>
      <c r="T26" t="s">
        <v>291</v>
      </c>
      <c r="U26" t="s">
        <v>274</v>
      </c>
    </row>
    <row r="27" spans="2:21" x14ac:dyDescent="0.35">
      <c r="L27" t="s">
        <v>411</v>
      </c>
      <c r="T27" t="s">
        <v>222</v>
      </c>
      <c r="U27" t="s">
        <v>304</v>
      </c>
    </row>
    <row r="28" spans="2:21" x14ac:dyDescent="0.35">
      <c r="L28" t="s">
        <v>412</v>
      </c>
      <c r="T28" t="s">
        <v>236</v>
      </c>
      <c r="U28" t="s">
        <v>304</v>
      </c>
    </row>
    <row r="29" spans="2:21" x14ac:dyDescent="0.35">
      <c r="L29" t="s">
        <v>413</v>
      </c>
      <c r="T29" t="s">
        <v>306</v>
      </c>
      <c r="U29" t="s">
        <v>240</v>
      </c>
    </row>
    <row r="30" spans="2:21" x14ac:dyDescent="0.35">
      <c r="L30" t="s">
        <v>414</v>
      </c>
      <c r="T30" t="s">
        <v>245</v>
      </c>
      <c r="U30" t="s">
        <v>304</v>
      </c>
    </row>
    <row r="31" spans="2:21" x14ac:dyDescent="0.35">
      <c r="L31" t="s">
        <v>415</v>
      </c>
      <c r="T31" t="s">
        <v>271</v>
      </c>
      <c r="U31" t="s">
        <v>274</v>
      </c>
    </row>
    <row r="32" spans="2:21" x14ac:dyDescent="0.35">
      <c r="L32" t="s">
        <v>416</v>
      </c>
      <c r="T32" t="s">
        <v>320</v>
      </c>
      <c r="U32" t="s">
        <v>274</v>
      </c>
    </row>
    <row r="33" spans="1:21" x14ac:dyDescent="0.35">
      <c r="T33" t="s">
        <v>255</v>
      </c>
      <c r="U33" t="s">
        <v>304</v>
      </c>
    </row>
    <row r="34" spans="1:21" x14ac:dyDescent="0.35">
      <c r="T34" t="s">
        <v>283</v>
      </c>
      <c r="U34" t="s">
        <v>304</v>
      </c>
    </row>
    <row r="35" spans="1:21" x14ac:dyDescent="0.35">
      <c r="T35" t="s">
        <v>224</v>
      </c>
      <c r="U35" t="s">
        <v>274</v>
      </c>
    </row>
    <row r="36" spans="1:21" x14ac:dyDescent="0.35">
      <c r="O36" s="1" t="s">
        <v>417</v>
      </c>
      <c r="P36" s="1" t="s">
        <v>418</v>
      </c>
      <c r="T36" t="s">
        <v>332</v>
      </c>
      <c r="U36" t="s">
        <v>304</v>
      </c>
    </row>
    <row r="37" spans="1:21" x14ac:dyDescent="0.35">
      <c r="O37" t="s">
        <v>204</v>
      </c>
      <c r="P37" t="s">
        <v>419</v>
      </c>
      <c r="T37" t="s">
        <v>315</v>
      </c>
      <c r="U37" t="s">
        <v>304</v>
      </c>
    </row>
    <row r="38" spans="1:21" x14ac:dyDescent="0.35">
      <c r="A38" t="s">
        <v>417</v>
      </c>
      <c r="B38" t="s">
        <v>420</v>
      </c>
      <c r="O38" t="s">
        <v>205</v>
      </c>
      <c r="P38" t="s">
        <v>421</v>
      </c>
      <c r="T38" t="s">
        <v>261</v>
      </c>
      <c r="U38" t="s">
        <v>274</v>
      </c>
    </row>
    <row r="39" spans="1:21" x14ac:dyDescent="0.35">
      <c r="A39" t="s">
        <v>148</v>
      </c>
      <c r="B39" t="s">
        <v>422</v>
      </c>
      <c r="G39" s="2"/>
      <c r="O39" t="s">
        <v>206</v>
      </c>
      <c r="P39" t="s">
        <v>423</v>
      </c>
      <c r="T39" t="s">
        <v>287</v>
      </c>
      <c r="U39" t="s">
        <v>304</v>
      </c>
    </row>
    <row r="40" spans="1:21" x14ac:dyDescent="0.35">
      <c r="G40" s="2"/>
      <c r="O40" t="s">
        <v>207</v>
      </c>
      <c r="P40" t="s">
        <v>207</v>
      </c>
      <c r="T40" t="s">
        <v>327</v>
      </c>
      <c r="U40" t="s">
        <v>274</v>
      </c>
    </row>
    <row r="41" spans="1:21" x14ac:dyDescent="0.35">
      <c r="O41" t="s">
        <v>208</v>
      </c>
      <c r="P41" t="s">
        <v>208</v>
      </c>
      <c r="T41" t="s">
        <v>298</v>
      </c>
      <c r="U41" t="s">
        <v>304</v>
      </c>
    </row>
    <row r="42" spans="1:21" x14ac:dyDescent="0.35">
      <c r="O42" t="s">
        <v>209</v>
      </c>
      <c r="P42" t="s">
        <v>424</v>
      </c>
      <c r="T42" t="s">
        <v>262</v>
      </c>
      <c r="U42" t="s">
        <v>240</v>
      </c>
    </row>
    <row r="43" spans="1:21" x14ac:dyDescent="0.35">
      <c r="O43" t="s">
        <v>210</v>
      </c>
      <c r="P43" t="s">
        <v>210</v>
      </c>
      <c r="T43" t="s">
        <v>264</v>
      </c>
      <c r="U43" t="s">
        <v>304</v>
      </c>
    </row>
    <row r="44" spans="1:21" x14ac:dyDescent="0.35">
      <c r="O44" t="s">
        <v>211</v>
      </c>
      <c r="P44" t="s">
        <v>425</v>
      </c>
      <c r="T44" t="s">
        <v>232</v>
      </c>
      <c r="U44" t="s">
        <v>274</v>
      </c>
    </row>
    <row r="45" spans="1:21" x14ac:dyDescent="0.35">
      <c r="O45" t="s">
        <v>212</v>
      </c>
      <c r="P45" t="s">
        <v>426</v>
      </c>
      <c r="T45" t="s">
        <v>273</v>
      </c>
      <c r="U45" t="s">
        <v>304</v>
      </c>
    </row>
    <row r="46" spans="1:21" x14ac:dyDescent="0.35">
      <c r="O46" t="s">
        <v>213</v>
      </c>
      <c r="P46" t="s">
        <v>427</v>
      </c>
      <c r="T46" t="s">
        <v>241</v>
      </c>
      <c r="U46" t="s">
        <v>304</v>
      </c>
    </row>
    <row r="47" spans="1:21" x14ac:dyDescent="0.35">
      <c r="O47" t="s">
        <v>214</v>
      </c>
      <c r="P47" t="s">
        <v>428</v>
      </c>
      <c r="T47" t="s">
        <v>338</v>
      </c>
      <c r="U47" t="s">
        <v>274</v>
      </c>
    </row>
    <row r="48" spans="1:21" x14ac:dyDescent="0.35">
      <c r="O48" t="s">
        <v>215</v>
      </c>
      <c r="P48" t="s">
        <v>429</v>
      </c>
      <c r="T48" t="s">
        <v>289</v>
      </c>
      <c r="U48" t="s">
        <v>274</v>
      </c>
    </row>
    <row r="49" spans="15:21" x14ac:dyDescent="0.35">
      <c r="O49" t="s">
        <v>216</v>
      </c>
      <c r="P49" t="s">
        <v>430</v>
      </c>
      <c r="T49" t="s">
        <v>301</v>
      </c>
      <c r="U49" t="s">
        <v>274</v>
      </c>
    </row>
    <row r="50" spans="15:21" x14ac:dyDescent="0.35">
      <c r="O50" t="s">
        <v>217</v>
      </c>
      <c r="P50" t="s">
        <v>431</v>
      </c>
      <c r="T50" t="s">
        <v>313</v>
      </c>
      <c r="U50" t="s">
        <v>240</v>
      </c>
    </row>
    <row r="51" spans="15:21" x14ac:dyDescent="0.35">
      <c r="O51" t="s">
        <v>218</v>
      </c>
      <c r="P51" t="s">
        <v>432</v>
      </c>
      <c r="T51" t="s">
        <v>348</v>
      </c>
      <c r="U51" t="s">
        <v>304</v>
      </c>
    </row>
    <row r="52" spans="15:21" x14ac:dyDescent="0.35">
      <c r="O52" t="s">
        <v>219</v>
      </c>
      <c r="P52" t="s">
        <v>219</v>
      </c>
      <c r="T52" t="s">
        <v>303</v>
      </c>
      <c r="U52" t="s">
        <v>304</v>
      </c>
    </row>
    <row r="53" spans="15:21" x14ac:dyDescent="0.35">
      <c r="O53" t="s">
        <v>220</v>
      </c>
      <c r="P53" t="s">
        <v>433</v>
      </c>
      <c r="T53" t="s">
        <v>243</v>
      </c>
      <c r="U53" t="s">
        <v>274</v>
      </c>
    </row>
    <row r="54" spans="15:21" x14ac:dyDescent="0.35">
      <c r="T54" t="s">
        <v>279</v>
      </c>
      <c r="U54" t="s">
        <v>274</v>
      </c>
    </row>
    <row r="55" spans="15:21" x14ac:dyDescent="0.35">
      <c r="T55" t="s">
        <v>248</v>
      </c>
      <c r="U55" t="s">
        <v>274</v>
      </c>
    </row>
    <row r="56" spans="15:21" x14ac:dyDescent="0.35">
      <c r="T56" t="s">
        <v>318</v>
      </c>
      <c r="U56" t="s">
        <v>274</v>
      </c>
    </row>
    <row r="57" spans="15:21" x14ac:dyDescent="0.35">
      <c r="T57" t="s">
        <v>231</v>
      </c>
      <c r="U57" t="s">
        <v>274</v>
      </c>
    </row>
    <row r="58" spans="15:21" x14ac:dyDescent="0.35">
      <c r="T58" t="s">
        <v>278</v>
      </c>
      <c r="U58" t="s">
        <v>274</v>
      </c>
    </row>
    <row r="59" spans="15:21" x14ac:dyDescent="0.35">
      <c r="T59" t="s">
        <v>246</v>
      </c>
      <c r="U59" t="s">
        <v>304</v>
      </c>
    </row>
    <row r="60" spans="15:21" x14ac:dyDescent="0.35">
      <c r="T60" t="s">
        <v>325</v>
      </c>
      <c r="U60" t="s">
        <v>240</v>
      </c>
    </row>
    <row r="61" spans="15:21" x14ac:dyDescent="0.35">
      <c r="T61" t="s">
        <v>337</v>
      </c>
      <c r="U61" t="s">
        <v>240</v>
      </c>
    </row>
    <row r="62" spans="15:21" x14ac:dyDescent="0.35">
      <c r="T62" t="s">
        <v>293</v>
      </c>
      <c r="U62" t="s">
        <v>274</v>
      </c>
    </row>
    <row r="63" spans="15:21" x14ac:dyDescent="0.35">
      <c r="T63" t="s">
        <v>308</v>
      </c>
      <c r="U63" t="s">
        <v>274</v>
      </c>
    </row>
    <row r="64" spans="15:21" x14ac:dyDescent="0.35">
      <c r="T64" t="s">
        <v>330</v>
      </c>
      <c r="U64" t="s">
        <v>274</v>
      </c>
    </row>
    <row r="65" spans="20:21" x14ac:dyDescent="0.35">
      <c r="T65" t="s">
        <v>265</v>
      </c>
      <c r="U65" t="s">
        <v>274</v>
      </c>
    </row>
    <row r="66" spans="20:21" x14ac:dyDescent="0.35">
      <c r="T66" t="s">
        <v>342</v>
      </c>
      <c r="U66" t="s">
        <v>274</v>
      </c>
    </row>
    <row r="67" spans="20:21" x14ac:dyDescent="0.35">
      <c r="T67" t="s">
        <v>355</v>
      </c>
      <c r="U67" t="s">
        <v>304</v>
      </c>
    </row>
    <row r="68" spans="20:21" x14ac:dyDescent="0.35">
      <c r="T68" t="s">
        <v>238</v>
      </c>
      <c r="U68" t="s">
        <v>240</v>
      </c>
    </row>
    <row r="69" spans="20:21" x14ac:dyDescent="0.35">
      <c r="T69" t="s">
        <v>362</v>
      </c>
      <c r="U69" t="s">
        <v>274</v>
      </c>
    </row>
    <row r="70" spans="20:21" x14ac:dyDescent="0.35">
      <c r="T70" t="s">
        <v>260</v>
      </c>
      <c r="U70" t="s">
        <v>274</v>
      </c>
    </row>
    <row r="71" spans="20:21" x14ac:dyDescent="0.35">
      <c r="T71" t="s">
        <v>347</v>
      </c>
      <c r="U71" t="s">
        <v>304</v>
      </c>
    </row>
    <row r="72" spans="20:21" x14ac:dyDescent="0.35">
      <c r="T72" t="s">
        <v>316</v>
      </c>
      <c r="U72" t="s">
        <v>304</v>
      </c>
    </row>
    <row r="73" spans="20:21" x14ac:dyDescent="0.35">
      <c r="T73" t="s">
        <v>369</v>
      </c>
      <c r="U73" t="s">
        <v>304</v>
      </c>
    </row>
    <row r="74" spans="20:21" x14ac:dyDescent="0.35">
      <c r="T74" t="s">
        <v>277</v>
      </c>
      <c r="U74" t="s">
        <v>274</v>
      </c>
    </row>
    <row r="75" spans="20:21" x14ac:dyDescent="0.35">
      <c r="T75" t="s">
        <v>292</v>
      </c>
      <c r="U75" t="s">
        <v>274</v>
      </c>
    </row>
    <row r="76" spans="20:21" x14ac:dyDescent="0.35">
      <c r="T76" t="s">
        <v>307</v>
      </c>
      <c r="U76" t="s">
        <v>304</v>
      </c>
    </row>
    <row r="77" spans="20:21" x14ac:dyDescent="0.35">
      <c r="T77" t="s">
        <v>263</v>
      </c>
      <c r="U77" t="s">
        <v>304</v>
      </c>
    </row>
    <row r="78" spans="20:21" x14ac:dyDescent="0.35">
      <c r="T78" t="s">
        <v>280</v>
      </c>
      <c r="U78" t="s">
        <v>274</v>
      </c>
    </row>
    <row r="79" spans="20:21" x14ac:dyDescent="0.35">
      <c r="T79" t="s">
        <v>340</v>
      </c>
      <c r="U79" t="s">
        <v>304</v>
      </c>
    </row>
    <row r="80" spans="20:21" x14ac:dyDescent="0.35">
      <c r="T80" t="s">
        <v>251</v>
      </c>
      <c r="U80" t="s">
        <v>304</v>
      </c>
    </row>
    <row r="81" spans="20:21" x14ac:dyDescent="0.35">
      <c r="T81" t="s">
        <v>281</v>
      </c>
      <c r="U81" t="s">
        <v>304</v>
      </c>
    </row>
    <row r="82" spans="20:21" x14ac:dyDescent="0.35">
      <c r="T82" t="s">
        <v>258</v>
      </c>
      <c r="U82" t="s">
        <v>304</v>
      </c>
    </row>
    <row r="83" spans="20:21" x14ac:dyDescent="0.35">
      <c r="T83" t="s">
        <v>375</v>
      </c>
      <c r="U83" t="s">
        <v>304</v>
      </c>
    </row>
    <row r="84" spans="20:21" x14ac:dyDescent="0.35">
      <c r="T84" t="s">
        <v>322</v>
      </c>
      <c r="U84" t="s">
        <v>274</v>
      </c>
    </row>
    <row r="85" spans="20:21" x14ac:dyDescent="0.35">
      <c r="T85" t="s">
        <v>275</v>
      </c>
      <c r="U85" t="s">
        <v>274</v>
      </c>
    </row>
    <row r="86" spans="20:21" x14ac:dyDescent="0.35">
      <c r="T86" t="s">
        <v>321</v>
      </c>
      <c r="U86" t="s">
        <v>274</v>
      </c>
    </row>
    <row r="87" spans="20:21" x14ac:dyDescent="0.35">
      <c r="T87" t="s">
        <v>334</v>
      </c>
      <c r="U87" t="s">
        <v>274</v>
      </c>
    </row>
    <row r="88" spans="20:21" x14ac:dyDescent="0.35">
      <c r="T88" t="s">
        <v>294</v>
      </c>
      <c r="U88" t="s">
        <v>274</v>
      </c>
    </row>
    <row r="89" spans="20:21" x14ac:dyDescent="0.35">
      <c r="T89" t="s">
        <v>295</v>
      </c>
      <c r="U89" t="s">
        <v>274</v>
      </c>
    </row>
    <row r="90" spans="20:21" x14ac:dyDescent="0.35">
      <c r="T90" t="s">
        <v>296</v>
      </c>
      <c r="U90" t="s">
        <v>274</v>
      </c>
    </row>
    <row r="91" spans="20:21" x14ac:dyDescent="0.35">
      <c r="T91" t="s">
        <v>282</v>
      </c>
      <c r="U91" t="s">
        <v>274</v>
      </c>
    </row>
    <row r="92" spans="20:21" x14ac:dyDescent="0.35">
      <c r="T92" t="s">
        <v>354</v>
      </c>
      <c r="U92" t="s">
        <v>274</v>
      </c>
    </row>
    <row r="93" spans="20:21" x14ac:dyDescent="0.35">
      <c r="T93" t="s">
        <v>250</v>
      </c>
      <c r="U93" t="s">
        <v>274</v>
      </c>
    </row>
    <row r="94" spans="20:21" x14ac:dyDescent="0.35">
      <c r="T94" t="s">
        <v>268</v>
      </c>
      <c r="U94" t="s">
        <v>274</v>
      </c>
    </row>
    <row r="95" spans="20:21" x14ac:dyDescent="0.35">
      <c r="T95" t="s">
        <v>380</v>
      </c>
      <c r="U95" t="s">
        <v>274</v>
      </c>
    </row>
    <row r="96" spans="20:21" x14ac:dyDescent="0.35">
      <c r="T96" t="s">
        <v>234</v>
      </c>
      <c r="U96" t="s">
        <v>274</v>
      </c>
    </row>
    <row r="97" spans="20:21" x14ac:dyDescent="0.35">
      <c r="T97" t="s">
        <v>272</v>
      </c>
      <c r="U97" t="s">
        <v>274</v>
      </c>
    </row>
    <row r="98" spans="20:21" x14ac:dyDescent="0.35">
      <c r="T98" t="s">
        <v>253</v>
      </c>
      <c r="U98" t="s">
        <v>274</v>
      </c>
    </row>
    <row r="99" spans="20:21" x14ac:dyDescent="0.35">
      <c r="T99" t="s">
        <v>328</v>
      </c>
      <c r="U99" t="s">
        <v>274</v>
      </c>
    </row>
    <row r="100" spans="20:21" x14ac:dyDescent="0.35">
      <c r="T100" t="s">
        <v>270</v>
      </c>
      <c r="U100" t="s">
        <v>274</v>
      </c>
    </row>
    <row r="101" spans="20:21" x14ac:dyDescent="0.35">
      <c r="T101" t="s">
        <v>350</v>
      </c>
      <c r="U101" t="s">
        <v>274</v>
      </c>
    </row>
    <row r="102" spans="20:21" x14ac:dyDescent="0.35">
      <c r="T102" t="s">
        <v>257</v>
      </c>
      <c r="U102" t="s">
        <v>274</v>
      </c>
    </row>
    <row r="103" spans="20:21" x14ac:dyDescent="0.35">
      <c r="T103" t="s">
        <v>311</v>
      </c>
      <c r="U103" t="s">
        <v>304</v>
      </c>
    </row>
    <row r="104" spans="20:21" x14ac:dyDescent="0.35">
      <c r="T104" t="s">
        <v>333</v>
      </c>
      <c r="U104" t="s">
        <v>274</v>
      </c>
    </row>
    <row r="105" spans="20:21" x14ac:dyDescent="0.35">
      <c r="T105" t="s">
        <v>434</v>
      </c>
      <c r="U105" t="s">
        <v>304</v>
      </c>
    </row>
    <row r="106" spans="20:21" x14ac:dyDescent="0.35">
      <c r="T106" t="s">
        <v>297</v>
      </c>
      <c r="U106" t="s">
        <v>274</v>
      </c>
    </row>
    <row r="107" spans="20:21" x14ac:dyDescent="0.35">
      <c r="T107" t="s">
        <v>310</v>
      </c>
      <c r="U107" t="s">
        <v>274</v>
      </c>
    </row>
    <row r="108" spans="20:21" x14ac:dyDescent="0.35">
      <c r="T108" t="s">
        <v>351</v>
      </c>
      <c r="U108" t="s">
        <v>304</v>
      </c>
    </row>
    <row r="109" spans="20:21" x14ac:dyDescent="0.35">
      <c r="T109" t="s">
        <v>290</v>
      </c>
      <c r="U109" t="s">
        <v>304</v>
      </c>
    </row>
    <row r="110" spans="20:21" x14ac:dyDescent="0.35">
      <c r="T110" t="s">
        <v>361</v>
      </c>
      <c r="U110" t="s">
        <v>274</v>
      </c>
    </row>
    <row r="111" spans="20:21" x14ac:dyDescent="0.35">
      <c r="T111" t="s">
        <v>324</v>
      </c>
      <c r="U111" t="s">
        <v>274</v>
      </c>
    </row>
    <row r="112" spans="20:21" x14ac:dyDescent="0.35">
      <c r="T112" t="s">
        <v>284</v>
      </c>
      <c r="U112" t="s">
        <v>304</v>
      </c>
    </row>
    <row r="113" spans="20:21" x14ac:dyDescent="0.35">
      <c r="T113" t="s">
        <v>305</v>
      </c>
      <c r="U113" t="s">
        <v>274</v>
      </c>
    </row>
    <row r="114" spans="20:21" x14ac:dyDescent="0.35">
      <c r="T114" t="s">
        <v>343</v>
      </c>
      <c r="U114" t="s">
        <v>304</v>
      </c>
    </row>
    <row r="115" spans="20:21" x14ac:dyDescent="0.35">
      <c r="T115" t="s">
        <v>385</v>
      </c>
      <c r="U115" t="s">
        <v>304</v>
      </c>
    </row>
    <row r="116" spans="20:21" x14ac:dyDescent="0.35">
      <c r="T116" t="s">
        <v>368</v>
      </c>
      <c r="U116" t="s">
        <v>274</v>
      </c>
    </row>
    <row r="117" spans="20:21" x14ac:dyDescent="0.35">
      <c r="T117" t="s">
        <v>336</v>
      </c>
      <c r="U117" t="s">
        <v>304</v>
      </c>
    </row>
    <row r="118" spans="20:21" x14ac:dyDescent="0.35">
      <c r="T118" t="s">
        <v>339</v>
      </c>
      <c r="U118" t="s">
        <v>304</v>
      </c>
    </row>
    <row r="119" spans="20:21" x14ac:dyDescent="0.35">
      <c r="T119" t="s">
        <v>349</v>
      </c>
      <c r="U119" t="s">
        <v>304</v>
      </c>
    </row>
    <row r="120" spans="20:21" x14ac:dyDescent="0.35">
      <c r="T120" t="s">
        <v>390</v>
      </c>
      <c r="U120" t="s">
        <v>274</v>
      </c>
    </row>
    <row r="121" spans="20:21" x14ac:dyDescent="0.35">
      <c r="T121" t="s">
        <v>357</v>
      </c>
      <c r="U121" t="s">
        <v>274</v>
      </c>
    </row>
    <row r="122" spans="20:21" x14ac:dyDescent="0.35">
      <c r="T122" t="s">
        <v>299</v>
      </c>
      <c r="U122" t="s">
        <v>304</v>
      </c>
    </row>
    <row r="123" spans="20:21" x14ac:dyDescent="0.35">
      <c r="T123" t="s">
        <v>352</v>
      </c>
      <c r="U123" t="s">
        <v>274</v>
      </c>
    </row>
    <row r="124" spans="20:21" x14ac:dyDescent="0.35">
      <c r="T124" t="s">
        <v>358</v>
      </c>
      <c r="U124" t="s">
        <v>274</v>
      </c>
    </row>
    <row r="125" spans="20:21" x14ac:dyDescent="0.35">
      <c r="T125" t="s">
        <v>395</v>
      </c>
      <c r="U125" t="s">
        <v>240</v>
      </c>
    </row>
    <row r="126" spans="20:21" x14ac:dyDescent="0.35">
      <c r="T126" t="s">
        <v>356</v>
      </c>
      <c r="U126" t="s">
        <v>274</v>
      </c>
    </row>
    <row r="127" spans="20:21" x14ac:dyDescent="0.35">
      <c r="T127" t="s">
        <v>374</v>
      </c>
      <c r="U127" t="s">
        <v>274</v>
      </c>
    </row>
    <row r="128" spans="20:21" x14ac:dyDescent="0.35">
      <c r="T128" t="s">
        <v>399</v>
      </c>
      <c r="U128" t="s">
        <v>274</v>
      </c>
    </row>
    <row r="129" spans="20:21" x14ac:dyDescent="0.35">
      <c r="T129" t="s">
        <v>364</v>
      </c>
      <c r="U129" t="s">
        <v>304</v>
      </c>
    </row>
    <row r="130" spans="20:21" x14ac:dyDescent="0.35">
      <c r="T130" t="s">
        <v>302</v>
      </c>
      <c r="U130" t="s">
        <v>274</v>
      </c>
    </row>
    <row r="131" spans="20:21" x14ac:dyDescent="0.35">
      <c r="T131" t="s">
        <v>267</v>
      </c>
      <c r="U131" t="s">
        <v>304</v>
      </c>
    </row>
    <row r="132" spans="20:21" x14ac:dyDescent="0.35">
      <c r="T132" t="s">
        <v>402</v>
      </c>
      <c r="U132" t="s">
        <v>304</v>
      </c>
    </row>
    <row r="133" spans="20:21" x14ac:dyDescent="0.35">
      <c r="T133" t="s">
        <v>404</v>
      </c>
      <c r="U133" t="s">
        <v>274</v>
      </c>
    </row>
    <row r="134" spans="20:21" x14ac:dyDescent="0.35">
      <c r="T134" t="s">
        <v>379</v>
      </c>
      <c r="U134" t="s">
        <v>274</v>
      </c>
    </row>
    <row r="135" spans="20:21" x14ac:dyDescent="0.35">
      <c r="T135" t="s">
        <v>384</v>
      </c>
      <c r="U135" t="s">
        <v>304</v>
      </c>
    </row>
    <row r="136" spans="20:21" x14ac:dyDescent="0.35">
      <c r="T136" t="s">
        <v>371</v>
      </c>
      <c r="U136" t="s">
        <v>274</v>
      </c>
    </row>
    <row r="137" spans="20:21" x14ac:dyDescent="0.35">
      <c r="T137" t="s">
        <v>363</v>
      </c>
      <c r="U137" t="s">
        <v>240</v>
      </c>
    </row>
    <row r="138" spans="20:21" x14ac:dyDescent="0.35">
      <c r="T138" t="s">
        <v>406</v>
      </c>
      <c r="U138" t="s">
        <v>304</v>
      </c>
    </row>
    <row r="139" spans="20:21" x14ac:dyDescent="0.35">
      <c r="T139" t="s">
        <v>407</v>
      </c>
      <c r="U139" t="s">
        <v>274</v>
      </c>
    </row>
    <row r="140" spans="20:21" x14ac:dyDescent="0.35">
      <c r="T140" t="s">
        <v>389</v>
      </c>
      <c r="U140" t="s">
        <v>304</v>
      </c>
    </row>
    <row r="141" spans="20:21" x14ac:dyDescent="0.35">
      <c r="T141" t="s">
        <v>408</v>
      </c>
      <c r="U141" t="s">
        <v>304</v>
      </c>
    </row>
    <row r="142" spans="20:21" x14ac:dyDescent="0.35">
      <c r="T142" t="s">
        <v>314</v>
      </c>
      <c r="U142" t="s">
        <v>304</v>
      </c>
    </row>
    <row r="143" spans="20:21" x14ac:dyDescent="0.35">
      <c r="T143" t="s">
        <v>409</v>
      </c>
      <c r="U143" t="s">
        <v>304</v>
      </c>
    </row>
    <row r="144" spans="20:21" x14ac:dyDescent="0.35">
      <c r="T144" t="s">
        <v>326</v>
      </c>
      <c r="U144" t="s">
        <v>304</v>
      </c>
    </row>
    <row r="145" spans="20:21" x14ac:dyDescent="0.35">
      <c r="T145" t="s">
        <v>410</v>
      </c>
      <c r="U145" t="s">
        <v>240</v>
      </c>
    </row>
    <row r="146" spans="20:21" x14ac:dyDescent="0.35">
      <c r="T146" t="s">
        <v>411</v>
      </c>
      <c r="U146" t="s">
        <v>274</v>
      </c>
    </row>
    <row r="147" spans="20:21" x14ac:dyDescent="0.35">
      <c r="T147" t="s">
        <v>317</v>
      </c>
      <c r="U147" t="s">
        <v>304</v>
      </c>
    </row>
    <row r="148" spans="20:21" x14ac:dyDescent="0.35">
      <c r="T148" t="s">
        <v>412</v>
      </c>
      <c r="U148" t="s">
        <v>304</v>
      </c>
    </row>
    <row r="149" spans="20:21" x14ac:dyDescent="0.35">
      <c r="T149" t="s">
        <v>370</v>
      </c>
      <c r="U149" t="s">
        <v>304</v>
      </c>
    </row>
    <row r="150" spans="20:21" x14ac:dyDescent="0.35">
      <c r="T150" t="s">
        <v>376</v>
      </c>
      <c r="U150" t="s">
        <v>274</v>
      </c>
    </row>
    <row r="151" spans="20:21" x14ac:dyDescent="0.35">
      <c r="T151" t="s">
        <v>381</v>
      </c>
      <c r="U151" t="s">
        <v>274</v>
      </c>
    </row>
    <row r="152" spans="20:21" x14ac:dyDescent="0.35">
      <c r="T152" t="s">
        <v>365</v>
      </c>
      <c r="U152" t="s">
        <v>274</v>
      </c>
    </row>
    <row r="153" spans="20:21" x14ac:dyDescent="0.35">
      <c r="T153" t="s">
        <v>377</v>
      </c>
      <c r="U153" t="s">
        <v>274</v>
      </c>
    </row>
    <row r="154" spans="20:21" x14ac:dyDescent="0.35">
      <c r="T154" t="s">
        <v>382</v>
      </c>
      <c r="U154" t="s">
        <v>274</v>
      </c>
    </row>
    <row r="155" spans="20:21" x14ac:dyDescent="0.35">
      <c r="T155" t="s">
        <v>372</v>
      </c>
      <c r="U155" t="s">
        <v>274</v>
      </c>
    </row>
    <row r="156" spans="20:21" x14ac:dyDescent="0.35">
      <c r="T156" t="s">
        <v>378</v>
      </c>
      <c r="U156" t="s">
        <v>274</v>
      </c>
    </row>
    <row r="157" spans="20:21" x14ac:dyDescent="0.35">
      <c r="T157" t="s">
        <v>383</v>
      </c>
      <c r="U157" t="s">
        <v>274</v>
      </c>
    </row>
    <row r="158" spans="20:21" x14ac:dyDescent="0.35">
      <c r="T158" t="s">
        <v>323</v>
      </c>
      <c r="U158" t="s">
        <v>274</v>
      </c>
    </row>
    <row r="159" spans="20:21" x14ac:dyDescent="0.35">
      <c r="T159" t="s">
        <v>388</v>
      </c>
      <c r="U159" t="s">
        <v>274</v>
      </c>
    </row>
    <row r="160" spans="20:21" x14ac:dyDescent="0.35">
      <c r="T160" t="s">
        <v>386</v>
      </c>
      <c r="U160" t="s">
        <v>274</v>
      </c>
    </row>
    <row r="161" spans="20:21" x14ac:dyDescent="0.35">
      <c r="T161" t="s">
        <v>393</v>
      </c>
      <c r="U161" t="s">
        <v>304</v>
      </c>
    </row>
    <row r="162" spans="20:21" x14ac:dyDescent="0.35">
      <c r="T162" t="s">
        <v>413</v>
      </c>
      <c r="U162" t="s">
        <v>274</v>
      </c>
    </row>
    <row r="163" spans="20:21" x14ac:dyDescent="0.35">
      <c r="T163" t="s">
        <v>394</v>
      </c>
      <c r="U163" t="s">
        <v>240</v>
      </c>
    </row>
    <row r="164" spans="20:21" x14ac:dyDescent="0.35">
      <c r="T164" t="s">
        <v>391</v>
      </c>
      <c r="U164" t="s">
        <v>274</v>
      </c>
    </row>
    <row r="165" spans="20:21" x14ac:dyDescent="0.35">
      <c r="T165" t="s">
        <v>286</v>
      </c>
      <c r="U165" t="s">
        <v>274</v>
      </c>
    </row>
    <row r="166" spans="20:21" x14ac:dyDescent="0.35">
      <c r="T166" t="s">
        <v>346</v>
      </c>
      <c r="U166" t="s">
        <v>274</v>
      </c>
    </row>
    <row r="167" spans="20:21" x14ac:dyDescent="0.35">
      <c r="T167" t="s">
        <v>387</v>
      </c>
      <c r="U167" t="s">
        <v>274</v>
      </c>
    </row>
    <row r="168" spans="20:21" x14ac:dyDescent="0.35">
      <c r="T168" t="s">
        <v>398</v>
      </c>
      <c r="U168" t="s">
        <v>240</v>
      </c>
    </row>
    <row r="169" spans="20:21" x14ac:dyDescent="0.35">
      <c r="T169" t="s">
        <v>344</v>
      </c>
      <c r="U169" t="s">
        <v>304</v>
      </c>
    </row>
    <row r="170" spans="20:21" x14ac:dyDescent="0.35">
      <c r="T170" t="s">
        <v>319</v>
      </c>
      <c r="U170" t="s">
        <v>304</v>
      </c>
    </row>
    <row r="171" spans="20:21" x14ac:dyDescent="0.35">
      <c r="T171" t="s">
        <v>392</v>
      </c>
      <c r="U171" t="s">
        <v>304</v>
      </c>
    </row>
    <row r="172" spans="20:21" x14ac:dyDescent="0.35">
      <c r="T172" t="s">
        <v>353</v>
      </c>
      <c r="U172" t="s">
        <v>304</v>
      </c>
    </row>
    <row r="173" spans="20:21" x14ac:dyDescent="0.35">
      <c r="T173" t="s">
        <v>360</v>
      </c>
      <c r="U173" t="s">
        <v>274</v>
      </c>
    </row>
    <row r="174" spans="20:21" x14ac:dyDescent="0.35">
      <c r="T174" t="s">
        <v>397</v>
      </c>
      <c r="U174" t="s">
        <v>304</v>
      </c>
    </row>
    <row r="175" spans="20:21" x14ac:dyDescent="0.35">
      <c r="T175" t="s">
        <v>367</v>
      </c>
      <c r="U175" t="s">
        <v>304</v>
      </c>
    </row>
    <row r="176" spans="20:21" x14ac:dyDescent="0.35">
      <c r="T176" t="s">
        <v>373</v>
      </c>
      <c r="U176" t="s">
        <v>304</v>
      </c>
    </row>
    <row r="177" spans="20:21" x14ac:dyDescent="0.35">
      <c r="T177" t="s">
        <v>331</v>
      </c>
      <c r="U177" t="s">
        <v>274</v>
      </c>
    </row>
    <row r="178" spans="20:21" x14ac:dyDescent="0.35">
      <c r="T178" t="s">
        <v>335</v>
      </c>
      <c r="U178" t="s">
        <v>304</v>
      </c>
    </row>
    <row r="179" spans="20:21" x14ac:dyDescent="0.35">
      <c r="T179" t="s">
        <v>414</v>
      </c>
      <c r="U179" t="s">
        <v>274</v>
      </c>
    </row>
    <row r="180" spans="20:21" x14ac:dyDescent="0.35">
      <c r="T180" t="s">
        <v>345</v>
      </c>
      <c r="U180" t="s">
        <v>274</v>
      </c>
    </row>
    <row r="181" spans="20:21" x14ac:dyDescent="0.35">
      <c r="T181" t="s">
        <v>329</v>
      </c>
      <c r="U181" t="s">
        <v>240</v>
      </c>
    </row>
    <row r="182" spans="20:21" x14ac:dyDescent="0.35">
      <c r="T182" t="s">
        <v>359</v>
      </c>
      <c r="U182" t="s">
        <v>304</v>
      </c>
    </row>
    <row r="183" spans="20:21" x14ac:dyDescent="0.35">
      <c r="T183" t="s">
        <v>415</v>
      </c>
      <c r="U183" t="s">
        <v>274</v>
      </c>
    </row>
    <row r="184" spans="20:21" x14ac:dyDescent="0.35">
      <c r="T184" t="s">
        <v>401</v>
      </c>
      <c r="U184" t="s">
        <v>304</v>
      </c>
    </row>
    <row r="185" spans="20:21" x14ac:dyDescent="0.35">
      <c r="T185" t="s">
        <v>366</v>
      </c>
      <c r="U185" t="s">
        <v>274</v>
      </c>
    </row>
    <row r="186" spans="20:21" x14ac:dyDescent="0.35">
      <c r="T186" t="s">
        <v>309</v>
      </c>
      <c r="U186" t="s">
        <v>304</v>
      </c>
    </row>
    <row r="187" spans="20:21" x14ac:dyDescent="0.35">
      <c r="T187" t="s">
        <v>396</v>
      </c>
      <c r="U187" t="s">
        <v>304</v>
      </c>
    </row>
    <row r="188" spans="20:21" x14ac:dyDescent="0.35">
      <c r="T188" t="s">
        <v>400</v>
      </c>
      <c r="U188" t="s">
        <v>304</v>
      </c>
    </row>
    <row r="189" spans="20:21" x14ac:dyDescent="0.35">
      <c r="T189" t="s">
        <v>312</v>
      </c>
      <c r="U189" t="s">
        <v>304</v>
      </c>
    </row>
    <row r="190" spans="20:21" x14ac:dyDescent="0.35">
      <c r="T190" t="s">
        <v>341</v>
      </c>
      <c r="U190" t="s">
        <v>274</v>
      </c>
    </row>
    <row r="191" spans="20:21" x14ac:dyDescent="0.35">
      <c r="T191" t="s">
        <v>403</v>
      </c>
      <c r="U191" t="s">
        <v>304</v>
      </c>
    </row>
    <row r="192" spans="20:21" x14ac:dyDescent="0.35">
      <c r="T192" t="s">
        <v>405</v>
      </c>
      <c r="U192" t="s">
        <v>240</v>
      </c>
    </row>
    <row r="193" spans="20:20" x14ac:dyDescent="0.35">
      <c r="T193" t="s">
        <v>416</v>
      </c>
    </row>
  </sheetData>
  <autoFilter ref="T1:U192" xr:uid="{B2D49C11-441A-411B-8922-9DEA1B966015}"/>
  <pageMargins left="0.7" right="0.7" top="0.75" bottom="0.75" header="0.3" footer="0.3"/>
  <pageSetup paperSize="9" scale="53" orientation="portrait" r:id="rId1"/>
  <headerFooter>
    <oddHeader>&amp;C&amp;"Calibri"&amp;12&amp;KA80000PROTECTED&amp;1#</oddHeader>
    <oddFooter>&amp;C&amp;1#&amp;"Calibri"&amp;12&amp;KA80000PROTECTED</oddFooter>
  </headerFooter>
  <colBreaks count="2" manualBreakCount="2">
    <brk id="4" max="180" man="1"/>
    <brk id="9" max="180" man="1"/>
  </colBreaks>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3D92-A472-41FD-A34F-4F1C97A67A8B}">
  <sheetPr codeName="Sheet4">
    <tabColor rgb="FFC00000"/>
  </sheetPr>
  <dimension ref="B1:M91"/>
  <sheetViews>
    <sheetView zoomScale="80" zoomScaleNormal="80" workbookViewId="0">
      <selection activeCell="E16" sqref="E16"/>
    </sheetView>
  </sheetViews>
  <sheetFormatPr defaultColWidth="20.453125" defaultRowHeight="14.5" x14ac:dyDescent="0.35"/>
  <cols>
    <col min="1" max="1" width="4.1796875" style="13" customWidth="1"/>
    <col min="2" max="2" width="7.7265625" style="13" customWidth="1"/>
    <col min="3" max="3" width="40.26953125" style="160" bestFit="1" customWidth="1"/>
    <col min="4" max="4" width="182.26953125" style="13" bestFit="1" customWidth="1"/>
    <col min="5" max="5" width="23.81640625" style="13" customWidth="1"/>
    <col min="6" max="6" width="21.1796875" style="13" customWidth="1"/>
    <col min="7" max="7" width="40" style="13" bestFit="1" customWidth="1"/>
    <col min="8" max="8" width="20.453125" style="13"/>
    <col min="9" max="9" width="21.81640625" style="13" customWidth="1"/>
    <col min="10" max="10" width="20.453125" style="13"/>
    <col min="11" max="11" width="41" style="13" bestFit="1" customWidth="1"/>
    <col min="12" max="12" width="20.453125" style="19"/>
    <col min="13" max="16384" width="20.453125" style="13"/>
  </cols>
  <sheetData>
    <row r="1" spans="2:12" x14ac:dyDescent="0.35">
      <c r="B1" s="5"/>
      <c r="C1" s="159"/>
      <c r="D1" s="5"/>
    </row>
    <row r="2" spans="2:12" x14ac:dyDescent="0.35">
      <c r="B2" s="5"/>
      <c r="C2" s="159"/>
      <c r="D2" s="5"/>
    </row>
    <row r="3" spans="2:12" x14ac:dyDescent="0.35">
      <c r="B3" s="5"/>
      <c r="C3" s="159"/>
      <c r="D3" s="5"/>
    </row>
    <row r="4" spans="2:12" ht="22.5" customHeight="1" x14ac:dyDescent="0.35">
      <c r="B4" s="5"/>
      <c r="C4" s="159"/>
      <c r="D4" s="5"/>
    </row>
    <row r="5" spans="2:12" s="36" customFormat="1" ht="65.25" customHeight="1" x14ac:dyDescent="0.35">
      <c r="B5" s="216" t="s">
        <v>477</v>
      </c>
      <c r="C5" s="217"/>
      <c r="D5" s="218"/>
      <c r="E5" s="158"/>
      <c r="F5" s="158"/>
      <c r="G5" s="158"/>
      <c r="H5" s="158"/>
      <c r="I5" s="158"/>
      <c r="L5" s="35"/>
    </row>
    <row r="6" spans="2:12" ht="9" customHeight="1" x14ac:dyDescent="0.35">
      <c r="B6" s="7"/>
      <c r="C6" s="8"/>
      <c r="D6" s="9"/>
      <c r="E6" s="12"/>
      <c r="F6" s="12"/>
      <c r="G6" s="12"/>
      <c r="H6" s="12"/>
      <c r="I6" s="12"/>
    </row>
    <row r="7" spans="2:12" ht="45.75" customHeight="1" x14ac:dyDescent="0.35">
      <c r="B7" s="232" t="s">
        <v>26</v>
      </c>
      <c r="C7" s="217"/>
      <c r="D7" s="218"/>
      <c r="E7" s="12"/>
      <c r="F7" s="12"/>
      <c r="G7" s="12"/>
      <c r="H7" s="12"/>
      <c r="I7" s="12"/>
    </row>
    <row r="8" spans="2:12" s="5" customFormat="1" ht="9" customHeight="1" x14ac:dyDescent="0.35">
      <c r="B8" s="107"/>
      <c r="C8" s="9"/>
      <c r="D8" s="9"/>
      <c r="E8" s="108"/>
      <c r="F8" s="108"/>
      <c r="G8" s="108"/>
      <c r="H8" s="108"/>
      <c r="I8" s="108"/>
      <c r="L8" s="109"/>
    </row>
    <row r="9" spans="2:12" ht="179.25" customHeight="1" x14ac:dyDescent="0.35">
      <c r="B9" s="33" t="s">
        <v>27</v>
      </c>
      <c r="C9" s="219" t="s">
        <v>472</v>
      </c>
      <c r="D9" s="220"/>
      <c r="E9" s="14"/>
      <c r="F9" s="14"/>
      <c r="G9" s="14"/>
      <c r="H9" s="14"/>
      <c r="I9" s="14"/>
    </row>
    <row r="10" spans="2:12" ht="10" customHeight="1" x14ac:dyDescent="0.35">
      <c r="B10" s="10"/>
      <c r="C10" s="221"/>
      <c r="D10" s="221"/>
      <c r="E10" s="14"/>
      <c r="F10" s="14"/>
      <c r="G10" s="14"/>
      <c r="H10" s="14"/>
      <c r="I10" s="14"/>
    </row>
    <row r="11" spans="2:12" ht="19.5" customHeight="1" x14ac:dyDescent="0.35">
      <c r="B11" s="222" t="s">
        <v>28</v>
      </c>
      <c r="C11" s="224" t="s">
        <v>458</v>
      </c>
      <c r="D11" s="225"/>
      <c r="E11" s="14"/>
      <c r="F11" s="14"/>
      <c r="G11" s="14"/>
      <c r="H11" s="14"/>
      <c r="I11" s="14"/>
    </row>
    <row r="12" spans="2:12" ht="19.5" customHeight="1" x14ac:dyDescent="0.35">
      <c r="B12" s="222"/>
      <c r="C12" s="101" t="s">
        <v>29</v>
      </c>
      <c r="D12" s="34" t="s">
        <v>449</v>
      </c>
      <c r="E12" s="15"/>
      <c r="F12" s="160"/>
    </row>
    <row r="13" spans="2:12" ht="19.5" customHeight="1" x14ac:dyDescent="0.35">
      <c r="B13" s="222"/>
      <c r="C13" s="101" t="s">
        <v>30</v>
      </c>
      <c r="D13" s="34" t="s">
        <v>459</v>
      </c>
      <c r="E13" s="16"/>
      <c r="F13" s="160"/>
    </row>
    <row r="14" spans="2:12" ht="19.5" customHeight="1" x14ac:dyDescent="0.35">
      <c r="B14" s="222"/>
      <c r="C14" s="101" t="s">
        <v>31</v>
      </c>
      <c r="D14" s="34" t="s">
        <v>32</v>
      </c>
      <c r="E14" s="16"/>
      <c r="F14" s="160"/>
    </row>
    <row r="15" spans="2:12" ht="35.25" customHeight="1" x14ac:dyDescent="0.35">
      <c r="B15" s="222"/>
      <c r="C15" s="101" t="s">
        <v>33</v>
      </c>
      <c r="D15" s="34" t="s">
        <v>460</v>
      </c>
      <c r="E15" s="16"/>
      <c r="F15" s="160"/>
    </row>
    <row r="16" spans="2:12" ht="35.25" customHeight="1" x14ac:dyDescent="0.35">
      <c r="B16" s="223"/>
      <c r="C16" s="102" t="s">
        <v>34</v>
      </c>
      <c r="D16" s="100" t="s">
        <v>35</v>
      </c>
      <c r="E16" s="16"/>
      <c r="F16" s="160"/>
    </row>
    <row r="17" spans="2:12" ht="9" customHeight="1" x14ac:dyDescent="0.35">
      <c r="B17" s="5"/>
      <c r="C17" s="159"/>
      <c r="D17" s="6"/>
      <c r="E17" s="16"/>
      <c r="F17" s="160"/>
    </row>
    <row r="18" spans="2:12" s="36" customFormat="1" ht="121" customHeight="1" x14ac:dyDescent="0.35">
      <c r="B18" s="226" t="s">
        <v>36</v>
      </c>
      <c r="C18" s="228" t="s">
        <v>471</v>
      </c>
      <c r="D18" s="229"/>
      <c r="E18" s="35"/>
      <c r="F18" s="161"/>
      <c r="L18" s="35"/>
    </row>
    <row r="19" spans="2:12" ht="19.5" customHeight="1" x14ac:dyDescent="0.35">
      <c r="B19" s="226"/>
      <c r="C19" s="230" t="s">
        <v>37</v>
      </c>
      <c r="D19" s="231"/>
      <c r="E19" s="16"/>
      <c r="F19" s="160"/>
    </row>
    <row r="20" spans="2:12" ht="19.5" customHeight="1" x14ac:dyDescent="0.35">
      <c r="B20" s="226"/>
      <c r="C20" s="101" t="s">
        <v>38</v>
      </c>
      <c r="D20" s="37" t="s">
        <v>39</v>
      </c>
      <c r="E20" s="16"/>
      <c r="F20" s="160"/>
    </row>
    <row r="21" spans="2:12" ht="19.5" customHeight="1" x14ac:dyDescent="0.35">
      <c r="B21" s="226"/>
      <c r="C21" s="101" t="s">
        <v>461</v>
      </c>
      <c r="D21" s="37" t="s">
        <v>40</v>
      </c>
      <c r="E21" s="16"/>
      <c r="F21" s="160"/>
    </row>
    <row r="22" spans="2:12" ht="35.25" customHeight="1" x14ac:dyDescent="0.35">
      <c r="B22" s="226"/>
      <c r="C22" s="101" t="s">
        <v>41</v>
      </c>
      <c r="D22" s="34" t="s">
        <v>462</v>
      </c>
      <c r="E22" s="16"/>
      <c r="F22" s="160"/>
    </row>
    <row r="23" spans="2:12" ht="35.25" customHeight="1" x14ac:dyDescent="0.35">
      <c r="B23" s="226"/>
      <c r="C23" s="101" t="s">
        <v>42</v>
      </c>
      <c r="D23" s="34" t="s">
        <v>473</v>
      </c>
      <c r="E23" s="16"/>
      <c r="F23" s="160"/>
    </row>
    <row r="24" spans="2:12" ht="19.5" customHeight="1" x14ac:dyDescent="0.35">
      <c r="B24" s="226"/>
      <c r="C24" s="123" t="s">
        <v>43</v>
      </c>
      <c r="D24" s="61"/>
      <c r="E24" s="16"/>
      <c r="F24" s="160"/>
    </row>
    <row r="25" spans="2:12" ht="19.5" customHeight="1" x14ac:dyDescent="0.35">
      <c r="B25" s="226"/>
      <c r="C25" s="101" t="s">
        <v>44</v>
      </c>
      <c r="D25" s="37" t="s">
        <v>463</v>
      </c>
      <c r="E25" s="16"/>
      <c r="F25" s="160"/>
    </row>
    <row r="26" spans="2:12" ht="19.5" customHeight="1" x14ac:dyDescent="0.35">
      <c r="B26" s="226"/>
      <c r="C26" s="101" t="s">
        <v>45</v>
      </c>
      <c r="D26" s="37" t="s">
        <v>464</v>
      </c>
      <c r="E26" s="16"/>
      <c r="F26" s="160"/>
    </row>
    <row r="27" spans="2:12" ht="19.5" customHeight="1" x14ac:dyDescent="0.35">
      <c r="B27" s="226"/>
      <c r="C27" s="101" t="s">
        <v>46</v>
      </c>
      <c r="D27" s="37" t="s">
        <v>47</v>
      </c>
      <c r="E27" s="16"/>
      <c r="F27" s="160"/>
    </row>
    <row r="28" spans="2:12" ht="19.5" customHeight="1" x14ac:dyDescent="0.35">
      <c r="B28" s="226"/>
      <c r="C28" s="111" t="s">
        <v>442</v>
      </c>
      <c r="D28" s="112" t="s">
        <v>465</v>
      </c>
      <c r="E28" s="16"/>
      <c r="F28" s="160"/>
    </row>
    <row r="29" spans="2:12" ht="19.5" customHeight="1" x14ac:dyDescent="0.35">
      <c r="B29" s="226"/>
      <c r="C29" s="111" t="s">
        <v>436</v>
      </c>
      <c r="D29" s="112" t="s">
        <v>466</v>
      </c>
      <c r="E29" s="16"/>
      <c r="F29" s="160"/>
    </row>
    <row r="30" spans="2:12" ht="19.5" customHeight="1" x14ac:dyDescent="0.35">
      <c r="B30" s="226"/>
      <c r="C30" s="101" t="s">
        <v>435</v>
      </c>
      <c r="D30" s="162" t="s">
        <v>467</v>
      </c>
      <c r="E30" s="16"/>
      <c r="F30" s="160"/>
    </row>
    <row r="31" spans="2:12" ht="19.5" customHeight="1" x14ac:dyDescent="0.35">
      <c r="B31" s="226"/>
      <c r="C31" s="110" t="s">
        <v>48</v>
      </c>
      <c r="D31" s="113" t="s">
        <v>49</v>
      </c>
      <c r="E31" s="16"/>
      <c r="F31" s="160"/>
    </row>
    <row r="32" spans="2:12" ht="19.5" customHeight="1" x14ac:dyDescent="0.35">
      <c r="B32" s="226"/>
      <c r="C32" s="122" t="s">
        <v>50</v>
      </c>
      <c r="D32" s="60"/>
      <c r="E32" s="16"/>
      <c r="F32" s="160"/>
    </row>
    <row r="33" spans="2:6" ht="45.75" customHeight="1" x14ac:dyDescent="0.35">
      <c r="B33" s="226"/>
      <c r="C33" s="101" t="s">
        <v>51</v>
      </c>
      <c r="D33" s="34" t="s">
        <v>52</v>
      </c>
      <c r="E33" s="16"/>
      <c r="F33" s="160"/>
    </row>
    <row r="34" spans="2:6" ht="45.75" customHeight="1" x14ac:dyDescent="0.35">
      <c r="B34" s="226"/>
      <c r="C34" s="101" t="s">
        <v>53</v>
      </c>
      <c r="D34" s="34" t="s">
        <v>54</v>
      </c>
      <c r="E34" s="16"/>
      <c r="F34" s="160"/>
    </row>
    <row r="35" spans="2:6" ht="19.5" customHeight="1" x14ac:dyDescent="0.35">
      <c r="B35" s="226"/>
      <c r="C35" s="101" t="s">
        <v>55</v>
      </c>
      <c r="D35" s="34" t="s">
        <v>56</v>
      </c>
      <c r="E35" s="16"/>
      <c r="F35" s="160"/>
    </row>
    <row r="36" spans="2:6" ht="19.5" customHeight="1" x14ac:dyDescent="0.35">
      <c r="B36" s="226"/>
      <c r="C36" s="101" t="s">
        <v>57</v>
      </c>
      <c r="D36" s="103" t="s">
        <v>58</v>
      </c>
      <c r="E36" s="16"/>
      <c r="F36" s="160"/>
    </row>
    <row r="37" spans="2:6" ht="19.5" customHeight="1" x14ac:dyDescent="0.35">
      <c r="B37" s="226"/>
      <c r="C37" s="101" t="s">
        <v>59</v>
      </c>
      <c r="D37" s="105" t="s">
        <v>60</v>
      </c>
      <c r="E37" s="15"/>
      <c r="F37" s="160"/>
    </row>
    <row r="38" spans="2:6" ht="19.5" customHeight="1" x14ac:dyDescent="0.35">
      <c r="B38" s="226"/>
      <c r="C38" s="124" t="s">
        <v>61</v>
      </c>
      <c r="D38" s="59"/>
      <c r="E38" s="16"/>
      <c r="F38" s="160"/>
    </row>
    <row r="39" spans="2:6" ht="19.5" customHeight="1" x14ac:dyDescent="0.35">
      <c r="B39" s="226"/>
      <c r="C39" s="101" t="s">
        <v>62</v>
      </c>
      <c r="D39" s="34" t="s">
        <v>63</v>
      </c>
      <c r="E39" s="16"/>
      <c r="F39" s="163"/>
    </row>
    <row r="40" spans="2:6" ht="19.5" customHeight="1" x14ac:dyDescent="0.35">
      <c r="B40" s="226"/>
      <c r="C40" s="101" t="s">
        <v>64</v>
      </c>
      <c r="D40" s="34" t="s">
        <v>65</v>
      </c>
      <c r="E40" s="16"/>
      <c r="F40" s="163"/>
    </row>
    <row r="41" spans="2:6" ht="19.5" customHeight="1" x14ac:dyDescent="0.35">
      <c r="B41" s="227"/>
      <c r="C41" s="102" t="s">
        <v>66</v>
      </c>
      <c r="D41" s="100" t="s">
        <v>67</v>
      </c>
      <c r="E41" s="16"/>
      <c r="F41" s="163"/>
    </row>
    <row r="42" spans="2:6" ht="9" customHeight="1" x14ac:dyDescent="0.35">
      <c r="B42" s="38"/>
      <c r="C42" s="11"/>
      <c r="D42" s="39"/>
      <c r="E42" s="16"/>
      <c r="F42" s="160"/>
    </row>
    <row r="43" spans="2:6" ht="21.75" customHeight="1" x14ac:dyDescent="0.35">
      <c r="B43" s="211" t="s">
        <v>68</v>
      </c>
      <c r="C43" s="214" t="s">
        <v>445</v>
      </c>
      <c r="D43" s="215"/>
      <c r="E43" s="15"/>
      <c r="F43" s="16"/>
    </row>
    <row r="44" spans="2:6" ht="19.5" customHeight="1" x14ac:dyDescent="0.35">
      <c r="B44" s="212"/>
      <c r="C44" s="101" t="s">
        <v>69</v>
      </c>
      <c r="D44" s="34" t="s">
        <v>70</v>
      </c>
      <c r="E44" s="15"/>
      <c r="F44" s="16"/>
    </row>
    <row r="45" spans="2:6" ht="35.25" customHeight="1" x14ac:dyDescent="0.35">
      <c r="B45" s="212"/>
      <c r="C45" s="101" t="s">
        <v>71</v>
      </c>
      <c r="D45" s="34" t="s">
        <v>443</v>
      </c>
      <c r="E45" s="17"/>
      <c r="F45" s="17"/>
    </row>
    <row r="46" spans="2:6" ht="19.5" customHeight="1" x14ac:dyDescent="0.35">
      <c r="B46" s="212"/>
      <c r="C46" s="101" t="s">
        <v>72</v>
      </c>
      <c r="D46" s="34" t="s">
        <v>73</v>
      </c>
      <c r="E46" s="17"/>
      <c r="F46" s="17"/>
    </row>
    <row r="47" spans="2:6" ht="19.5" customHeight="1" x14ac:dyDescent="0.35">
      <c r="B47" s="212"/>
      <c r="C47" s="101" t="s">
        <v>74</v>
      </c>
      <c r="D47" s="34" t="s">
        <v>75</v>
      </c>
      <c r="E47" s="17"/>
      <c r="F47" s="17"/>
    </row>
    <row r="48" spans="2:6" ht="19.5" customHeight="1" x14ac:dyDescent="0.35">
      <c r="B48" s="212"/>
      <c r="C48" s="101" t="s">
        <v>76</v>
      </c>
      <c r="D48" s="34" t="s">
        <v>77</v>
      </c>
      <c r="E48" s="16"/>
      <c r="F48" s="160"/>
    </row>
    <row r="49" spans="2:6" ht="19.5" customHeight="1" x14ac:dyDescent="0.35">
      <c r="B49" s="212"/>
      <c r="C49" s="101" t="s">
        <v>78</v>
      </c>
      <c r="D49" s="34" t="s">
        <v>79</v>
      </c>
      <c r="E49" s="16"/>
      <c r="F49" s="160"/>
    </row>
    <row r="50" spans="2:6" ht="19.5" customHeight="1" x14ac:dyDescent="0.35">
      <c r="B50" s="212"/>
      <c r="C50" s="101" t="s">
        <v>439</v>
      </c>
      <c r="D50" s="34" t="s">
        <v>440</v>
      </c>
      <c r="E50" s="16"/>
      <c r="F50" s="160"/>
    </row>
    <row r="51" spans="2:6" ht="19.5" customHeight="1" x14ac:dyDescent="0.35">
      <c r="B51" s="212"/>
      <c r="C51" s="101" t="s">
        <v>80</v>
      </c>
      <c r="D51" s="34" t="s">
        <v>81</v>
      </c>
      <c r="E51" s="16"/>
      <c r="F51" s="160"/>
    </row>
    <row r="52" spans="2:6" ht="35.25" customHeight="1" x14ac:dyDescent="0.35">
      <c r="B52" s="212"/>
      <c r="C52" s="101" t="s">
        <v>82</v>
      </c>
      <c r="D52" s="34" t="s">
        <v>83</v>
      </c>
      <c r="E52" s="16"/>
      <c r="F52" s="160"/>
    </row>
    <row r="53" spans="2:6" ht="19.5" customHeight="1" x14ac:dyDescent="0.35">
      <c r="B53" s="212"/>
      <c r="C53" s="101" t="s">
        <v>84</v>
      </c>
      <c r="D53" s="34" t="s">
        <v>85</v>
      </c>
      <c r="E53" s="16"/>
      <c r="F53" s="160"/>
    </row>
    <row r="54" spans="2:6" ht="19.5" customHeight="1" x14ac:dyDescent="0.35">
      <c r="B54" s="212"/>
      <c r="C54" s="101" t="s">
        <v>438</v>
      </c>
      <c r="D54" s="34" t="s">
        <v>441</v>
      </c>
      <c r="E54" s="16"/>
      <c r="F54" s="160"/>
    </row>
    <row r="55" spans="2:6" ht="19.5" customHeight="1" x14ac:dyDescent="0.35">
      <c r="B55" s="212"/>
      <c r="C55" s="101" t="s">
        <v>86</v>
      </c>
      <c r="D55" s="34" t="s">
        <v>87</v>
      </c>
      <c r="E55" s="16"/>
      <c r="F55" s="160"/>
    </row>
    <row r="56" spans="2:6" ht="19.5" customHeight="1" x14ac:dyDescent="0.35">
      <c r="B56" s="212"/>
      <c r="C56" s="101" t="s">
        <v>88</v>
      </c>
      <c r="D56" s="34" t="s">
        <v>89</v>
      </c>
      <c r="E56" s="16"/>
      <c r="F56" s="160"/>
    </row>
    <row r="57" spans="2:6" ht="19.5" customHeight="1" x14ac:dyDescent="0.35">
      <c r="B57" s="212"/>
      <c r="C57" s="101" t="s">
        <v>90</v>
      </c>
      <c r="D57" s="34" t="s">
        <v>91</v>
      </c>
      <c r="E57" s="16"/>
      <c r="F57" s="160"/>
    </row>
    <row r="58" spans="2:6" ht="19.5" customHeight="1" x14ac:dyDescent="0.35">
      <c r="B58" s="212"/>
      <c r="C58" s="101" t="s">
        <v>92</v>
      </c>
      <c r="D58" s="34" t="s">
        <v>93</v>
      </c>
      <c r="E58" s="16"/>
      <c r="F58" s="160"/>
    </row>
    <row r="59" spans="2:6" ht="19.5" customHeight="1" x14ac:dyDescent="0.35">
      <c r="B59" s="212"/>
      <c r="C59" s="101" t="s">
        <v>94</v>
      </c>
      <c r="D59" s="34" t="s">
        <v>95</v>
      </c>
      <c r="E59" s="16"/>
      <c r="F59" s="160"/>
    </row>
    <row r="60" spans="2:6" ht="35.25" customHeight="1" x14ac:dyDescent="0.35">
      <c r="B60" s="212"/>
      <c r="C60" s="101" t="s">
        <v>96</v>
      </c>
      <c r="D60" s="34" t="s">
        <v>97</v>
      </c>
      <c r="E60" s="16"/>
      <c r="F60" s="160"/>
    </row>
    <row r="61" spans="2:6" ht="19.5" customHeight="1" x14ac:dyDescent="0.35">
      <c r="B61" s="212"/>
      <c r="C61" s="101" t="s">
        <v>98</v>
      </c>
      <c r="D61" s="34" t="s">
        <v>99</v>
      </c>
      <c r="E61" s="16"/>
      <c r="F61" s="160"/>
    </row>
    <row r="62" spans="2:6" ht="19.5" customHeight="1" x14ac:dyDescent="0.35">
      <c r="B62" s="213"/>
      <c r="C62" s="104" t="s">
        <v>100</v>
      </c>
      <c r="D62" s="100" t="s">
        <v>101</v>
      </c>
      <c r="E62" s="16"/>
      <c r="F62" s="160"/>
    </row>
    <row r="63" spans="2:6" x14ac:dyDescent="0.35">
      <c r="B63" s="40"/>
      <c r="C63" s="164"/>
      <c r="D63" s="18"/>
      <c r="E63" s="16"/>
      <c r="F63" s="160"/>
    </row>
    <row r="64" spans="2:6" ht="19.5" customHeight="1" x14ac:dyDescent="0.35">
      <c r="B64" s="211" t="s">
        <v>447</v>
      </c>
      <c r="C64" s="214" t="s">
        <v>448</v>
      </c>
      <c r="D64" s="215"/>
      <c r="E64" s="16"/>
      <c r="F64" s="160"/>
    </row>
    <row r="65" spans="2:13" ht="19.5" customHeight="1" x14ac:dyDescent="0.35">
      <c r="B65" s="212"/>
      <c r="C65" s="101" t="s">
        <v>125</v>
      </c>
      <c r="D65" s="34" t="s">
        <v>478</v>
      </c>
    </row>
    <row r="66" spans="2:13" ht="19.5" customHeight="1" x14ac:dyDescent="0.35">
      <c r="B66" s="212"/>
      <c r="C66" s="101" t="s">
        <v>126</v>
      </c>
      <c r="D66" s="34" t="s">
        <v>479</v>
      </c>
    </row>
    <row r="67" spans="2:13" ht="19.5" customHeight="1" x14ac:dyDescent="0.35">
      <c r="B67" s="212"/>
      <c r="C67" s="101" t="s">
        <v>127</v>
      </c>
      <c r="D67" s="34" t="s">
        <v>455</v>
      </c>
    </row>
    <row r="68" spans="2:13" ht="19.5" customHeight="1" x14ac:dyDescent="0.35">
      <c r="B68" s="212"/>
      <c r="C68" s="101" t="s">
        <v>128</v>
      </c>
      <c r="D68" s="34" t="s">
        <v>457</v>
      </c>
    </row>
    <row r="69" spans="2:13" ht="19.5" customHeight="1" x14ac:dyDescent="0.35">
      <c r="B69" s="213"/>
      <c r="C69" s="102" t="s">
        <v>129</v>
      </c>
      <c r="D69" s="100" t="s">
        <v>456</v>
      </c>
    </row>
    <row r="70" spans="2:13" x14ac:dyDescent="0.35">
      <c r="K70" s="19"/>
    </row>
    <row r="76" spans="2:13" ht="25.5" customHeight="1" x14ac:dyDescent="0.35">
      <c r="L76" s="13"/>
      <c r="M76" s="19"/>
    </row>
    <row r="77" spans="2:13" x14ac:dyDescent="0.35">
      <c r="L77" s="13"/>
      <c r="M77" s="19"/>
    </row>
    <row r="78" spans="2:13" x14ac:dyDescent="0.35">
      <c r="L78" s="13"/>
      <c r="M78" s="19"/>
    </row>
    <row r="79" spans="2:13" x14ac:dyDescent="0.35">
      <c r="L79" s="13"/>
      <c r="M79" s="19"/>
    </row>
    <row r="80" spans="2:13" x14ac:dyDescent="0.35">
      <c r="L80" s="13"/>
      <c r="M80" s="19"/>
    </row>
    <row r="81" spans="12:13" x14ac:dyDescent="0.35">
      <c r="L81" s="13"/>
      <c r="M81" s="19"/>
    </row>
    <row r="82" spans="12:13" x14ac:dyDescent="0.35">
      <c r="L82" s="13"/>
      <c r="M82" s="19"/>
    </row>
    <row r="83" spans="12:13" x14ac:dyDescent="0.35">
      <c r="L83" s="13"/>
      <c r="M83" s="19"/>
    </row>
    <row r="84" spans="12:13" x14ac:dyDescent="0.35">
      <c r="L84" s="13"/>
      <c r="M84" s="19"/>
    </row>
    <row r="85" spans="12:13" x14ac:dyDescent="0.35">
      <c r="L85" s="13"/>
      <c r="M85" s="19"/>
    </row>
    <row r="86" spans="12:13" x14ac:dyDescent="0.35">
      <c r="L86" s="13"/>
      <c r="M86" s="19"/>
    </row>
    <row r="87" spans="12:13" x14ac:dyDescent="0.35">
      <c r="L87" s="13"/>
      <c r="M87" s="19"/>
    </row>
    <row r="88" spans="12:13" x14ac:dyDescent="0.35">
      <c r="L88" s="13"/>
      <c r="M88" s="19"/>
    </row>
    <row r="89" spans="12:13" x14ac:dyDescent="0.35">
      <c r="L89" s="13"/>
      <c r="M89" s="19"/>
    </row>
    <row r="90" spans="12:13" x14ac:dyDescent="0.35">
      <c r="L90" s="13"/>
      <c r="M90" s="19"/>
    </row>
    <row r="91" spans="12:13" x14ac:dyDescent="0.35">
      <c r="L91" s="13"/>
      <c r="M91" s="19"/>
    </row>
  </sheetData>
  <sheetProtection algorithmName="SHA-512" hashValue="K+xKDJHB8XGDRNWSd7BKsfyUNiXelKBNm3Fs4/rrwjWb7+3VIkN0MI41trdtNfbu1R1vqtWeWOgS4IRqsGcxgQ==" saltValue="txA72tmhlfmrqp4iHvvcmw==" spinCount="100000" sheet="1" formatColumns="0" formatRows="0"/>
  <mergeCells count="13">
    <mergeCell ref="B64:B69"/>
    <mergeCell ref="C64:D64"/>
    <mergeCell ref="B43:B62"/>
    <mergeCell ref="C43:D43"/>
    <mergeCell ref="B5:D5"/>
    <mergeCell ref="C9:D9"/>
    <mergeCell ref="C10:D10"/>
    <mergeCell ref="B11:B16"/>
    <mergeCell ref="C11:D11"/>
    <mergeCell ref="B18:B41"/>
    <mergeCell ref="C18:D18"/>
    <mergeCell ref="C19:D19"/>
    <mergeCell ref="B7:D7"/>
  </mergeCells>
  <hyperlinks>
    <hyperlink ref="D37" r:id="rId1" display="Refer to the Data and Digital Government Strategy" xr:uid="{36B2566A-C8B5-430E-AFFB-409D7E1E5D44}"/>
  </hyperlinks>
  <printOptions horizontalCentered="1"/>
  <pageMargins left="0.23622047244094491" right="0.23622047244094491" top="0.55118110236220474" bottom="0.35433070866141736" header="0.31496062992125984" footer="0.31496062992125984"/>
  <pageSetup paperSize="9" scale="52"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2864A-06DD-4FFD-94B6-9BD953FD1A62}">
  <sheetPr codeName="Sheet3">
    <tabColor rgb="FFC8EBD7"/>
    <pageSetUpPr fitToPage="1"/>
  </sheetPr>
  <dimension ref="A1:O144"/>
  <sheetViews>
    <sheetView zoomScale="90" zoomScaleNormal="90" workbookViewId="0">
      <selection activeCell="C10" sqref="C10"/>
    </sheetView>
  </sheetViews>
  <sheetFormatPr defaultColWidth="9.1796875" defaultRowHeight="14.5" outlineLevelCol="1" x14ac:dyDescent="0.35"/>
  <cols>
    <col min="1" max="1" width="2" style="3" customWidth="1"/>
    <col min="2" max="2" width="45.7265625" style="3" customWidth="1"/>
    <col min="3" max="3" width="45.7265625" style="71" customWidth="1"/>
    <col min="4" max="4" width="45.7265625" style="55" hidden="1" customWidth="1" outlineLevel="1"/>
    <col min="5" max="5" width="5.7265625" style="3" customWidth="1" collapsed="1"/>
    <col min="6" max="6" width="45.7265625" style="55" customWidth="1"/>
    <col min="7" max="7" width="45.7265625" style="3" customWidth="1"/>
    <col min="8" max="8" width="45.7265625" style="55"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66"/>
      <c r="D1" s="42"/>
      <c r="E1" s="42"/>
      <c r="F1" s="106"/>
      <c r="G1" s="42"/>
      <c r="H1" s="42"/>
    </row>
    <row r="2" spans="1:15" x14ac:dyDescent="0.35">
      <c r="A2" s="42"/>
      <c r="B2" s="42"/>
      <c r="C2" s="66"/>
      <c r="D2" s="42"/>
      <c r="E2" s="42"/>
      <c r="F2" s="106"/>
      <c r="G2" s="42"/>
      <c r="H2" s="42"/>
    </row>
    <row r="3" spans="1:15" x14ac:dyDescent="0.35">
      <c r="A3" s="42"/>
      <c r="B3" s="42"/>
      <c r="C3" s="66"/>
      <c r="D3" s="42"/>
      <c r="E3" s="42"/>
      <c r="F3" s="106"/>
      <c r="G3" s="42"/>
      <c r="H3" s="42"/>
    </row>
    <row r="4" spans="1:15" ht="42" customHeight="1" x14ac:dyDescent="0.35">
      <c r="A4" s="42"/>
      <c r="B4" s="42"/>
      <c r="C4" s="66"/>
      <c r="D4" s="42"/>
      <c r="E4" s="42"/>
      <c r="F4" s="106"/>
      <c r="G4" s="42"/>
      <c r="H4" s="42"/>
    </row>
    <row r="5" spans="1:15" ht="46" x14ac:dyDescent="0.35">
      <c r="A5" s="42"/>
      <c r="B5" s="204" t="s">
        <v>102</v>
      </c>
      <c r="C5" s="67"/>
      <c r="D5" s="56"/>
      <c r="E5" s="56"/>
      <c r="F5" s="106"/>
      <c r="G5" s="42"/>
      <c r="H5" s="42"/>
    </row>
    <row r="6" spans="1:15" x14ac:dyDescent="0.35">
      <c r="A6" s="42"/>
      <c r="B6" s="42"/>
      <c r="C6" s="66"/>
      <c r="D6" s="42"/>
      <c r="E6" s="42"/>
      <c r="F6" s="106"/>
      <c r="G6" s="42"/>
      <c r="H6" s="42"/>
    </row>
    <row r="7" spans="1:15" ht="15" customHeight="1" x14ac:dyDescent="0.35">
      <c r="A7" s="42"/>
      <c r="B7" s="56"/>
      <c r="C7" s="56"/>
      <c r="D7" s="125"/>
      <c r="E7" s="43"/>
      <c r="F7" s="106"/>
      <c r="G7" s="43"/>
      <c r="H7" s="43"/>
    </row>
    <row r="8" spans="1:15" ht="15" customHeight="1" x14ac:dyDescent="0.35">
      <c r="A8" s="42"/>
      <c r="B8" s="42"/>
      <c r="C8" s="43"/>
      <c r="D8" s="43"/>
      <c r="E8" s="43"/>
      <c r="F8" s="106"/>
      <c r="G8" s="43"/>
      <c r="H8" s="43"/>
    </row>
    <row r="9" spans="1:15" s="4" customFormat="1" ht="15" customHeight="1" x14ac:dyDescent="0.35">
      <c r="A9" s="44"/>
      <c r="B9" s="45" t="s">
        <v>103</v>
      </c>
      <c r="C9" s="46"/>
      <c r="D9" s="43"/>
      <c r="E9" s="43"/>
      <c r="F9" s="106"/>
      <c r="G9" s="43"/>
      <c r="H9" s="43"/>
      <c r="J9" s="3"/>
      <c r="K9" s="3"/>
      <c r="L9" s="3"/>
      <c r="M9" s="3"/>
      <c r="N9" s="3"/>
      <c r="O9" s="3"/>
    </row>
    <row r="10" spans="1:15" ht="15" customHeight="1" x14ac:dyDescent="0.35">
      <c r="A10" s="42"/>
      <c r="B10" s="88" t="s">
        <v>29</v>
      </c>
      <c r="C10" s="89"/>
      <c r="D10" s="43"/>
      <c r="E10" s="43"/>
      <c r="F10" s="106"/>
      <c r="G10" s="43"/>
      <c r="H10" s="43"/>
    </row>
    <row r="11" spans="1:15" ht="15" customHeight="1" x14ac:dyDescent="0.35">
      <c r="A11" s="42"/>
      <c r="B11" s="90" t="s">
        <v>30</v>
      </c>
      <c r="C11" s="41"/>
      <c r="D11" s="43"/>
      <c r="E11" s="43"/>
      <c r="F11" s="106"/>
      <c r="G11" s="43"/>
      <c r="H11" s="43"/>
    </row>
    <row r="12" spans="1:15" ht="15" customHeight="1" x14ac:dyDescent="0.35">
      <c r="A12" s="42"/>
      <c r="B12" s="90" t="s">
        <v>31</v>
      </c>
      <c r="C12" s="69" t="s">
        <v>104</v>
      </c>
      <c r="D12" s="43"/>
      <c r="E12" s="43"/>
      <c r="F12" s="106"/>
      <c r="G12" s="43"/>
      <c r="H12" s="43"/>
    </row>
    <row r="13" spans="1:15" ht="15" customHeight="1" x14ac:dyDescent="0.35">
      <c r="A13" s="42"/>
      <c r="B13" s="90" t="s">
        <v>33</v>
      </c>
      <c r="C13" s="69" t="s">
        <v>104</v>
      </c>
      <c r="D13" s="43"/>
      <c r="E13" s="43"/>
      <c r="F13" s="106"/>
      <c r="G13" s="43"/>
      <c r="H13" s="43"/>
    </row>
    <row r="14" spans="1:15" ht="30" customHeight="1" x14ac:dyDescent="0.35">
      <c r="A14" s="42"/>
      <c r="B14" s="91" t="s">
        <v>105</v>
      </c>
      <c r="C14" s="69" t="s">
        <v>104</v>
      </c>
      <c r="D14" s="43"/>
      <c r="E14" s="43"/>
      <c r="F14" s="106"/>
      <c r="G14" s="43"/>
      <c r="H14" s="43"/>
    </row>
    <row r="15" spans="1:15" ht="15" customHeight="1" x14ac:dyDescent="0.35">
      <c r="A15" s="42"/>
      <c r="B15" s="43"/>
      <c r="C15" s="43"/>
      <c r="D15" s="43"/>
      <c r="E15" s="43"/>
      <c r="F15" s="106"/>
      <c r="G15" s="43"/>
      <c r="H15" s="43"/>
    </row>
    <row r="16" spans="1:15" ht="15" customHeight="1" x14ac:dyDescent="0.35">
      <c r="A16" s="42"/>
      <c r="B16" s="43"/>
      <c r="C16" s="43"/>
      <c r="D16" s="43"/>
      <c r="E16" s="43"/>
      <c r="F16" s="106"/>
      <c r="G16" s="43"/>
      <c r="H16" s="43"/>
    </row>
    <row r="17" spans="1:15" s="4" customFormat="1" ht="15" customHeight="1" x14ac:dyDescent="0.35">
      <c r="A17" s="44"/>
      <c r="B17" s="47" t="s">
        <v>42</v>
      </c>
      <c r="C17" s="68"/>
      <c r="D17" s="126" t="s">
        <v>106</v>
      </c>
      <c r="E17" s="49"/>
      <c r="F17" s="47" t="s">
        <v>107</v>
      </c>
      <c r="G17" s="48"/>
      <c r="H17" s="128" t="s">
        <v>106</v>
      </c>
      <c r="J17" s="3"/>
      <c r="K17" s="3"/>
      <c r="L17" s="3"/>
      <c r="M17" s="3"/>
      <c r="N17" s="3"/>
      <c r="O17" s="3"/>
    </row>
    <row r="18" spans="1:15" s="30" customFormat="1" ht="15" customHeight="1" x14ac:dyDescent="0.35">
      <c r="A18" s="50"/>
      <c r="B18" s="54" t="s">
        <v>38</v>
      </c>
      <c r="C18" s="96" t="str">
        <f>IF(AND(LEFT(C10, 4)="INV-", ISNUMBER(VALUE(MID(C10, 5, LEN(C10)-4)))), C10 &amp; "-" &amp; VLOOKUP("Benefit Profile 1", BenefitNumbering[#All], 2, FALSE), "")</f>
        <v/>
      </c>
      <c r="D18" s="96" t="str">
        <f>IF(AND(LEFT(C10, 4)="INV-", ISNUMBER(VALUE(MID(C10, 5, LEN(C10)-4)))), C10 &amp; "-" &amp; VLOOKUP("Benefit Profile 1", BenefitNumberingVar[#All], 2, FALSE), "")</f>
        <v/>
      </c>
      <c r="E18" s="51"/>
      <c r="F18" s="54" t="s">
        <v>108</v>
      </c>
      <c r="G18" s="41"/>
      <c r="H18" s="149"/>
      <c r="J18" s="3"/>
      <c r="K18" s="3"/>
      <c r="L18" s="3"/>
      <c r="M18" s="3"/>
      <c r="N18" s="3"/>
      <c r="O18" s="3"/>
    </row>
    <row r="19" spans="1:15" ht="15" customHeight="1" x14ac:dyDescent="0.35">
      <c r="A19" s="42"/>
      <c r="B19" s="85" t="s">
        <v>109</v>
      </c>
      <c r="C19" s="41"/>
      <c r="D19" s="127"/>
      <c r="E19" s="43"/>
      <c r="F19" s="86" t="s">
        <v>110</v>
      </c>
      <c r="G19" s="69"/>
      <c r="H19" s="182"/>
    </row>
    <row r="20" spans="1:15" ht="15" customHeight="1" x14ac:dyDescent="0.35">
      <c r="A20" s="42"/>
      <c r="B20" s="85" t="s">
        <v>41</v>
      </c>
      <c r="C20" s="41"/>
      <c r="D20" s="127"/>
      <c r="E20" s="43"/>
      <c r="F20" s="86" t="s">
        <v>46</v>
      </c>
      <c r="G20" s="69"/>
      <c r="H20" s="182"/>
    </row>
    <row r="21" spans="1:15" x14ac:dyDescent="0.35">
      <c r="A21" s="42"/>
      <c r="B21" s="242" t="s">
        <v>42</v>
      </c>
      <c r="C21" s="241"/>
      <c r="D21" s="233"/>
      <c r="E21" s="43"/>
      <c r="F21" s="86" t="s">
        <v>111</v>
      </c>
      <c r="G21" s="87"/>
      <c r="H21" s="175"/>
    </row>
    <row r="22" spans="1:15" x14ac:dyDescent="0.35">
      <c r="A22" s="42"/>
      <c r="B22" s="243"/>
      <c r="C22" s="241"/>
      <c r="D22" s="235"/>
      <c r="E22" s="43"/>
      <c r="F22" s="86" t="s">
        <v>112</v>
      </c>
      <c r="G22" s="41"/>
      <c r="H22" s="182"/>
    </row>
    <row r="23" spans="1:15" x14ac:dyDescent="0.35">
      <c r="A23" s="42"/>
      <c r="B23" s="243"/>
      <c r="C23" s="241"/>
      <c r="D23" s="235"/>
      <c r="E23" s="43"/>
      <c r="F23" s="86" t="s">
        <v>113</v>
      </c>
      <c r="G23" s="87"/>
      <c r="H23" s="170"/>
    </row>
    <row r="24" spans="1:15" x14ac:dyDescent="0.35">
      <c r="A24" s="42"/>
      <c r="B24" s="243"/>
      <c r="C24" s="241"/>
      <c r="D24" s="235"/>
      <c r="E24" s="43"/>
      <c r="F24" s="242" t="s">
        <v>48</v>
      </c>
      <c r="G24" s="237"/>
      <c r="H24" s="233"/>
    </row>
    <row r="25" spans="1:15" x14ac:dyDescent="0.35">
      <c r="A25" s="42"/>
      <c r="B25" s="244"/>
      <c r="C25" s="238"/>
      <c r="D25" s="236"/>
      <c r="E25" s="43"/>
      <c r="F25" s="244"/>
      <c r="G25" s="238"/>
      <c r="H25" s="234"/>
    </row>
    <row r="26" spans="1:15" s="4" customFormat="1" x14ac:dyDescent="0.35">
      <c r="A26" s="44"/>
      <c r="B26" s="52"/>
      <c r="C26" s="43"/>
      <c r="D26" s="43"/>
      <c r="E26" s="43"/>
      <c r="F26" s="43"/>
      <c r="G26" s="43"/>
      <c r="H26" s="138"/>
      <c r="J26" s="3"/>
      <c r="K26" s="3"/>
      <c r="L26" s="3"/>
      <c r="M26" s="3"/>
      <c r="N26" s="3"/>
      <c r="O26" s="3"/>
    </row>
    <row r="27" spans="1:15" ht="15" customHeight="1" x14ac:dyDescent="0.35">
      <c r="A27" s="42"/>
      <c r="B27" s="47" t="s">
        <v>50</v>
      </c>
      <c r="C27" s="68"/>
      <c r="D27" s="128" t="s">
        <v>106</v>
      </c>
      <c r="E27" s="53"/>
      <c r="F27" s="47" t="s">
        <v>114</v>
      </c>
      <c r="G27" s="48"/>
      <c r="H27" s="128"/>
    </row>
    <row r="28" spans="1:15" ht="15" customHeight="1" x14ac:dyDescent="0.35">
      <c r="A28" s="42"/>
      <c r="B28" s="54" t="s">
        <v>51</v>
      </c>
      <c r="C28" s="41" t="s">
        <v>104</v>
      </c>
      <c r="D28" s="129" t="s">
        <v>104</v>
      </c>
      <c r="E28" s="43"/>
      <c r="F28" s="54" t="s">
        <v>62</v>
      </c>
      <c r="G28" s="75" t="str">
        <f>IF(AND($C$46="",$G$46="",$C$67="",$G$67=""),"",MIN($C$46,$G$46,$C$67,$G$67))</f>
        <v/>
      </c>
      <c r="H28" s="176" t="str">
        <f>IF(AND($D$46="",$H$46="",$D$67="",$H$67=""),"",MIN($D$46,$H$46,$D$67,$H$67))</f>
        <v/>
      </c>
    </row>
    <row r="29" spans="1:15" ht="15" customHeight="1" x14ac:dyDescent="0.35">
      <c r="A29" s="42"/>
      <c r="B29" s="54" t="s">
        <v>53</v>
      </c>
      <c r="C29" s="41" t="s">
        <v>104</v>
      </c>
      <c r="D29" s="129" t="s">
        <v>104</v>
      </c>
      <c r="E29" s="43"/>
      <c r="F29" s="54" t="s">
        <v>64</v>
      </c>
      <c r="G29" s="75" t="str">
        <f>IF(AND($C$47="",$G$47="",$C$68="",$G$68=""),"",MAX($C$47,$G$47,$C$68,$G$68))</f>
        <v/>
      </c>
      <c r="H29" s="75" t="str">
        <f>IF(AND($D$47="",$H$47="",$D$68="",$H$68=""),"",MAX($D$47,$H$47,$D$68,$H$68))</f>
        <v/>
      </c>
    </row>
    <row r="30" spans="1:15" ht="15" customHeight="1" x14ac:dyDescent="0.35">
      <c r="A30" s="42"/>
      <c r="B30" s="54" t="s">
        <v>55</v>
      </c>
      <c r="C30" s="41" t="s">
        <v>104</v>
      </c>
      <c r="D30" s="129" t="s">
        <v>104</v>
      </c>
      <c r="E30" s="43"/>
      <c r="F30" s="119" t="s">
        <v>66</v>
      </c>
      <c r="G30" s="120" t="str">
        <f>IF(VLOOKUP($C$140,MeasureConfidence[[#All],[Confidence Score]:[Cross Ref]],2,FALSE)=0,"",VLOOKUP($C$140,MeasureConfidence[[#All],[Confidence Score]:[Cross Ref]],2,FALSE))</f>
        <v/>
      </c>
      <c r="H30" s="120" t="str">
        <f>IF(VLOOKUP($G$140,MeasureConfidence[[#All],[Confidence Score]:[Cross Ref]],2,FALSE)=0,"",VLOOKUP($G$140,MeasureConfidence[[#All],[Confidence Score]:[Cross Ref]],2,FALSE))</f>
        <v/>
      </c>
    </row>
    <row r="31" spans="1:15" ht="15" customHeight="1" x14ac:dyDescent="0.35">
      <c r="A31" s="42"/>
      <c r="B31" s="54" t="s">
        <v>57</v>
      </c>
      <c r="C31" s="41" t="s">
        <v>104</v>
      </c>
      <c r="D31" s="129" t="s">
        <v>104</v>
      </c>
      <c r="E31" s="43"/>
      <c r="F31" s="43"/>
      <c r="G31" s="43"/>
      <c r="H31" s="43"/>
    </row>
    <row r="32" spans="1:15" ht="15" customHeight="1" x14ac:dyDescent="0.35">
      <c r="A32" s="42"/>
      <c r="B32" s="74" t="s">
        <v>59</v>
      </c>
      <c r="C32" s="84" t="s">
        <v>104</v>
      </c>
      <c r="D32" s="130" t="s">
        <v>104</v>
      </c>
      <c r="E32" s="43"/>
      <c r="F32" s="43"/>
      <c r="G32" s="43"/>
      <c r="H32" s="43"/>
    </row>
    <row r="33" spans="1:8" ht="15" customHeight="1" x14ac:dyDescent="0.35">
      <c r="A33" s="42"/>
      <c r="B33" s="52"/>
      <c r="C33" s="43"/>
      <c r="D33" s="43"/>
      <c r="E33" s="43"/>
      <c r="F33" s="43"/>
      <c r="G33" s="43"/>
      <c r="H33" s="43"/>
    </row>
    <row r="34" spans="1:8" ht="15" customHeight="1" x14ac:dyDescent="0.35">
      <c r="A34" s="42"/>
      <c r="B34" s="47" t="s">
        <v>115</v>
      </c>
      <c r="C34" s="68"/>
      <c r="D34" s="126" t="s">
        <v>106</v>
      </c>
      <c r="E34" s="43"/>
      <c r="F34" s="47" t="s">
        <v>116</v>
      </c>
      <c r="G34" s="48"/>
      <c r="H34" s="128" t="s">
        <v>106</v>
      </c>
    </row>
    <row r="35" spans="1:8" ht="15" customHeight="1" x14ac:dyDescent="0.35">
      <c r="A35" s="42"/>
      <c r="B35" s="54" t="s">
        <v>69</v>
      </c>
      <c r="C35" s="76" t="str">
        <f>IF(AND(LEFT($C$10, 4)="INV-", ISNUMBER(VALUE(MID($C$10, 5, LEN($C$10)-4))), $C$36&lt;&gt;""), $C$10 &amp; "-" &amp; VLOOKUP("Benefit Profile 1", BenefitNumbering[#All], 2, FALSE) &amp; "-1", "")</f>
        <v/>
      </c>
      <c r="D35" s="76" t="str">
        <f>IF(AND(LEFT($C$10, 4)="INV-", ISNUMBER(VALUE(MID($C$10, 5, LEN($C$10)-4))), $D$36&lt;&gt;""), $C$10 &amp; "-" &amp; VLOOKUP("Benefit Profile 1", BenefitNumberingVar[#All], 2, FALSE) &amp; "-1", "")</f>
        <v/>
      </c>
      <c r="E35" s="43"/>
      <c r="F35" s="54" t="s">
        <v>69</v>
      </c>
      <c r="G35" s="76" t="str">
        <f>IF(AND(LEFT($C$10, 4)="INV-", ISNUMBER(VALUE(MID($C$10, 5, LEN($C$10)-4))), $G$36&lt;&gt;""), $C$10 &amp; "-" &amp; VLOOKUP("Benefit Profile 1", BenefitNumbering[#All], 2, FALSE) &amp; "-2", "")</f>
        <v/>
      </c>
      <c r="H35" s="76" t="str">
        <f>IF(AND(LEFT($C$10, 4)="INV-", ISNUMBER(VALUE(MID($C$10, 5, LEN($C$10)-4))), $H$36&lt;&gt;""), $C$10 &amp; "-" &amp; VLOOKUP("Benefit Profile 1", BenefitNumberingVar[#All], 2, FALSE) &amp; "-2", "")</f>
        <v/>
      </c>
    </row>
    <row r="36" spans="1:8" ht="15" customHeight="1" x14ac:dyDescent="0.35">
      <c r="A36" s="42"/>
      <c r="B36" s="54" t="s">
        <v>117</v>
      </c>
      <c r="C36" s="41"/>
      <c r="D36" s="131"/>
      <c r="E36" s="43"/>
      <c r="F36" s="54" t="s">
        <v>117</v>
      </c>
      <c r="G36" s="41"/>
      <c r="H36" s="131"/>
    </row>
    <row r="37" spans="1:8" ht="15" customHeight="1" x14ac:dyDescent="0.35">
      <c r="A37" s="42"/>
      <c r="B37" s="54" t="s">
        <v>72</v>
      </c>
      <c r="C37" s="41"/>
      <c r="D37" s="131"/>
      <c r="E37" s="43"/>
      <c r="F37" s="54" t="s">
        <v>72</v>
      </c>
      <c r="G37" s="41"/>
      <c r="H37" s="131"/>
    </row>
    <row r="38" spans="1:8" ht="15" customHeight="1" x14ac:dyDescent="0.35">
      <c r="A38" s="42"/>
      <c r="B38" s="54" t="s">
        <v>74</v>
      </c>
      <c r="C38" s="41"/>
      <c r="D38" s="131"/>
      <c r="E38" s="43"/>
      <c r="F38" s="54" t="s">
        <v>74</v>
      </c>
      <c r="G38" s="41"/>
      <c r="H38" s="131"/>
    </row>
    <row r="39" spans="1:8" ht="15" customHeight="1" x14ac:dyDescent="0.35">
      <c r="A39" s="42"/>
      <c r="B39" s="54" t="s">
        <v>76</v>
      </c>
      <c r="C39" s="41"/>
      <c r="D39" s="131"/>
      <c r="E39" s="43"/>
      <c r="F39" s="54" t="s">
        <v>76</v>
      </c>
      <c r="G39" s="41"/>
      <c r="H39" s="131"/>
    </row>
    <row r="40" spans="1:8" ht="15" customHeight="1" x14ac:dyDescent="0.35">
      <c r="A40" s="42"/>
      <c r="B40" s="54" t="s">
        <v>78</v>
      </c>
      <c r="C40" s="79"/>
      <c r="D40" s="131"/>
      <c r="E40" s="43"/>
      <c r="F40" s="54" t="s">
        <v>78</v>
      </c>
      <c r="G40" s="79"/>
      <c r="H40" s="131"/>
    </row>
    <row r="41" spans="1:8" ht="15" customHeight="1" x14ac:dyDescent="0.35">
      <c r="A41" s="42"/>
      <c r="B41" s="54" t="s">
        <v>439</v>
      </c>
      <c r="C41" s="169" t="s">
        <v>104</v>
      </c>
      <c r="D41" s="131" t="s">
        <v>104</v>
      </c>
      <c r="E41" s="43"/>
      <c r="F41" s="115" t="s">
        <v>439</v>
      </c>
      <c r="G41" s="169" t="s">
        <v>104</v>
      </c>
      <c r="H41" s="131"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453</v>
      </c>
      <c r="C45" s="142">
        <f>C44-C43</f>
        <v>0</v>
      </c>
      <c r="D45" s="117">
        <f>D44-D43</f>
        <v>0</v>
      </c>
      <c r="E45" s="43"/>
      <c r="F45" s="54" t="s">
        <v>438</v>
      </c>
      <c r="G45" s="142">
        <f>G44-G43</f>
        <v>0</v>
      </c>
      <c r="H45" s="117">
        <f>H44-H43</f>
        <v>0</v>
      </c>
    </row>
    <row r="46" spans="1:8" ht="15" customHeight="1" x14ac:dyDescent="0.35">
      <c r="A46" s="42"/>
      <c r="B46" s="54" t="s">
        <v>119</v>
      </c>
      <c r="C46" s="20"/>
      <c r="D46" s="132"/>
      <c r="E46" s="43"/>
      <c r="F46" s="54" t="s">
        <v>119</v>
      </c>
      <c r="G46" s="20"/>
      <c r="H46" s="132"/>
    </row>
    <row r="47" spans="1:8" ht="15" customHeight="1" x14ac:dyDescent="0.35">
      <c r="A47" s="42"/>
      <c r="B47" s="54" t="s">
        <v>120</v>
      </c>
      <c r="C47" s="20"/>
      <c r="D47" s="132"/>
      <c r="E47" s="43"/>
      <c r="F47" s="54" t="s">
        <v>120</v>
      </c>
      <c r="G47" s="20"/>
      <c r="H47" s="132"/>
    </row>
    <row r="48" spans="1:8" ht="15" customHeight="1" x14ac:dyDescent="0.35">
      <c r="A48" s="42"/>
      <c r="B48" s="54" t="s">
        <v>121</v>
      </c>
      <c r="C48" s="98"/>
      <c r="D48" s="134"/>
      <c r="E48" s="43"/>
      <c r="F48" s="54" t="s">
        <v>121</v>
      </c>
      <c r="G48" s="93"/>
      <c r="H48" s="134"/>
    </row>
    <row r="49" spans="1:8" ht="15" customHeight="1" x14ac:dyDescent="0.35">
      <c r="A49" s="42"/>
      <c r="B49" s="54" t="s">
        <v>92</v>
      </c>
      <c r="C49" s="81" t="s">
        <v>104</v>
      </c>
      <c r="D49" s="135" t="s">
        <v>104</v>
      </c>
      <c r="E49" s="43"/>
      <c r="F49" s="54" t="s">
        <v>92</v>
      </c>
      <c r="G49" s="81" t="s">
        <v>104</v>
      </c>
      <c r="H49" s="135" t="s">
        <v>104</v>
      </c>
    </row>
    <row r="50" spans="1:8" ht="15" customHeight="1" x14ac:dyDescent="0.35">
      <c r="A50" s="42"/>
      <c r="B50" s="54" t="s">
        <v>98</v>
      </c>
      <c r="C50" s="82"/>
      <c r="D50" s="135"/>
      <c r="E50" s="43"/>
      <c r="F50" s="54" t="s">
        <v>98</v>
      </c>
      <c r="G50" s="82"/>
      <c r="H50" s="145"/>
    </row>
    <row r="51" spans="1:8" ht="15" customHeight="1" x14ac:dyDescent="0.35">
      <c r="A51" s="42"/>
      <c r="B51" s="54" t="s">
        <v>94</v>
      </c>
      <c r="C51" s="82"/>
      <c r="D51" s="135"/>
      <c r="E51" s="43"/>
      <c r="F51" s="54" t="s">
        <v>94</v>
      </c>
      <c r="G51" s="82"/>
      <c r="H51" s="145"/>
    </row>
    <row r="52" spans="1:8" ht="15" customHeight="1" x14ac:dyDescent="0.35">
      <c r="A52" s="42"/>
      <c r="B52" s="54" t="s">
        <v>96</v>
      </c>
      <c r="C52" s="82"/>
      <c r="D52" s="136"/>
      <c r="E52" s="43"/>
      <c r="F52" s="54" t="s">
        <v>96</v>
      </c>
      <c r="G52" s="82"/>
      <c r="H52" s="146"/>
    </row>
    <row r="53" spans="1:8" ht="15" customHeight="1" x14ac:dyDescent="0.35">
      <c r="A53" s="42"/>
      <c r="B53" s="77" t="s">
        <v>100</v>
      </c>
      <c r="C53" s="83" t="s">
        <v>104</v>
      </c>
      <c r="D53" s="139" t="s">
        <v>104</v>
      </c>
      <c r="E53" s="43"/>
      <c r="F53" s="77" t="s">
        <v>100</v>
      </c>
      <c r="G53" s="83" t="s">
        <v>104</v>
      </c>
      <c r="H53" s="174" t="s">
        <v>104</v>
      </c>
    </row>
    <row r="54" spans="1:8" ht="15" customHeight="1" x14ac:dyDescent="0.35">
      <c r="A54" s="42"/>
      <c r="B54" s="52"/>
      <c r="C54" s="43"/>
      <c r="D54" s="43"/>
      <c r="E54" s="43"/>
      <c r="F54" s="43"/>
      <c r="G54" s="43"/>
      <c r="H54" s="43"/>
    </row>
    <row r="55" spans="1:8" ht="15" customHeight="1" x14ac:dyDescent="0.35">
      <c r="A55" s="42"/>
      <c r="B55" s="47" t="s">
        <v>122</v>
      </c>
      <c r="C55" s="68"/>
      <c r="D55" s="128" t="s">
        <v>106</v>
      </c>
      <c r="E55" s="43"/>
      <c r="F55" s="47" t="s">
        <v>123</v>
      </c>
      <c r="G55" s="48"/>
      <c r="H55" s="128" t="s">
        <v>106</v>
      </c>
    </row>
    <row r="56" spans="1:8" ht="15" customHeight="1" x14ac:dyDescent="0.35">
      <c r="A56" s="42"/>
      <c r="B56" s="54" t="s">
        <v>69</v>
      </c>
      <c r="C56" s="76" t="str">
        <f>IF(AND(LEFT($C$10, 4)="INV-", ISNUMBER(VALUE(MID($C$10, 5, LEN($C$10)-4))), $C$57&lt;&gt;""), $C$10 &amp; "-" &amp; VLOOKUP("Benefit Profile 1", BenefitNumbering[#All], 2, FALSE) &amp; "-3", "")</f>
        <v/>
      </c>
      <c r="D56" s="76" t="str">
        <f>IF(AND(LEFT($C$10, 4)="INV-", ISNUMBER(VALUE(MID($C$10, 5, LEN($C$10)-4))), $D$57&lt;&gt;""), $C$10 &amp; "-" &amp; VLOOKUP("Benefit Profile 1", BenefitNumberingVar[#All], 2, FALSE) &amp; "-3", "")</f>
        <v/>
      </c>
      <c r="E56" s="43"/>
      <c r="F56" s="54" t="s">
        <v>69</v>
      </c>
      <c r="G56" s="76" t="str">
        <f>IF(AND(LEFT($C$10, 4)="INV-", ISNUMBER(VALUE(MID($C$10, 5, LEN($C$10)-4))), $G$57&lt;&gt;""), $C$10 &amp; "-" &amp; VLOOKUP("Benefit Profile 1", BenefitNumbering[#All], 2, FALSE) &amp; "-4", "")</f>
        <v/>
      </c>
      <c r="H56" s="178" t="str">
        <f>IF(AND(LEFT($C$10, 4)="INV-", ISNUMBER(VALUE(MID($C$10, 5, LEN($C$10)-4))), $H$57&lt;&gt;""), $C$10 &amp; "-" &amp; VLOOKUP("Benefit Profile 1", BenefitNumberingVar[#All], 2, FALSE) &amp; "-4", "")</f>
        <v/>
      </c>
    </row>
    <row r="57" spans="1:8" ht="15" customHeight="1" x14ac:dyDescent="0.35">
      <c r="A57" s="55"/>
      <c r="B57" s="54" t="s">
        <v>117</v>
      </c>
      <c r="C57" s="41"/>
      <c r="D57" s="137"/>
      <c r="E57" s="78"/>
      <c r="F57" s="54" t="s">
        <v>117</v>
      </c>
      <c r="G57" s="41"/>
      <c r="H57" s="177"/>
    </row>
    <row r="58" spans="1:8" ht="15" customHeight="1" x14ac:dyDescent="0.35">
      <c r="A58" s="55"/>
      <c r="B58" s="54" t="s">
        <v>72</v>
      </c>
      <c r="C58" s="41"/>
      <c r="D58" s="131"/>
      <c r="E58" s="43"/>
      <c r="F58" s="54" t="s">
        <v>72</v>
      </c>
      <c r="G58" s="41"/>
      <c r="H58" s="177"/>
    </row>
    <row r="59" spans="1:8" ht="15" customHeight="1" x14ac:dyDescent="0.35">
      <c r="A59" s="55"/>
      <c r="B59" s="54" t="s">
        <v>74</v>
      </c>
      <c r="C59" s="41"/>
      <c r="D59" s="131"/>
      <c r="E59" s="43"/>
      <c r="F59" s="54" t="s">
        <v>74</v>
      </c>
      <c r="G59" s="41"/>
      <c r="H59" s="177"/>
    </row>
    <row r="60" spans="1:8" ht="15" customHeight="1" x14ac:dyDescent="0.35">
      <c r="A60" s="55"/>
      <c r="B60" s="54" t="s">
        <v>76</v>
      </c>
      <c r="C60" s="41"/>
      <c r="D60" s="131"/>
      <c r="E60" s="43"/>
      <c r="F60" s="54" t="s">
        <v>76</v>
      </c>
      <c r="G60" s="41"/>
      <c r="H60" s="177"/>
    </row>
    <row r="61" spans="1:8" ht="15" customHeight="1" x14ac:dyDescent="0.35">
      <c r="A61" s="55"/>
      <c r="B61" s="54" t="s">
        <v>78</v>
      </c>
      <c r="C61" s="79"/>
      <c r="D61" s="131"/>
      <c r="E61" s="43"/>
      <c r="F61" s="54" t="s">
        <v>78</v>
      </c>
      <c r="G61" s="79"/>
      <c r="H61" s="177"/>
    </row>
    <row r="62" spans="1:8" ht="15" customHeight="1" x14ac:dyDescent="0.35">
      <c r="A62" s="55"/>
      <c r="B62" s="115" t="s">
        <v>439</v>
      </c>
      <c r="C62" s="169" t="s">
        <v>104</v>
      </c>
      <c r="D62" s="131" t="s">
        <v>104</v>
      </c>
      <c r="E62" s="43"/>
      <c r="F62" s="115" t="s">
        <v>439</v>
      </c>
      <c r="G62" s="169" t="s">
        <v>104</v>
      </c>
      <c r="H62" s="177" t="s">
        <v>104</v>
      </c>
    </row>
    <row r="63" spans="1:8" ht="15" customHeight="1" x14ac:dyDescent="0.35">
      <c r="A63" s="55"/>
      <c r="B63" s="54" t="s">
        <v>118</v>
      </c>
      <c r="C63" s="171"/>
      <c r="D63" s="132"/>
      <c r="E63" s="43"/>
      <c r="F63" s="54" t="s">
        <v>118</v>
      </c>
      <c r="G63" s="171"/>
      <c r="H63" s="179"/>
    </row>
    <row r="64" spans="1:8" ht="15" customHeight="1" x14ac:dyDescent="0.35">
      <c r="A64" s="55"/>
      <c r="B64" s="54" t="s">
        <v>82</v>
      </c>
      <c r="C64" s="157"/>
      <c r="D64" s="133"/>
      <c r="E64" s="43"/>
      <c r="F64" s="54" t="s">
        <v>82</v>
      </c>
      <c r="G64" s="157"/>
      <c r="H64" s="180"/>
    </row>
    <row r="65" spans="1:8" ht="15" customHeight="1" x14ac:dyDescent="0.35">
      <c r="A65" s="55"/>
      <c r="B65" s="54" t="s">
        <v>84</v>
      </c>
      <c r="C65" s="157"/>
      <c r="D65" s="133"/>
      <c r="E65" s="43"/>
      <c r="F65" s="54" t="s">
        <v>84</v>
      </c>
      <c r="G65" s="157"/>
      <c r="H65" s="180"/>
    </row>
    <row r="66" spans="1:8" ht="15" customHeight="1" x14ac:dyDescent="0.35">
      <c r="A66" s="55"/>
      <c r="B66" s="54" t="s">
        <v>438</v>
      </c>
      <c r="C66" s="142">
        <f>C65-C64</f>
        <v>0</v>
      </c>
      <c r="D66" s="117">
        <f>D65-D64</f>
        <v>0</v>
      </c>
      <c r="E66" s="43"/>
      <c r="F66" s="54" t="s">
        <v>438</v>
      </c>
      <c r="G66" s="142">
        <f>G65-G64</f>
        <v>0</v>
      </c>
      <c r="H66" s="181">
        <f>H65-H64</f>
        <v>0</v>
      </c>
    </row>
    <row r="67" spans="1:8" ht="15" customHeight="1" x14ac:dyDescent="0.35">
      <c r="A67" s="55"/>
      <c r="B67" s="54" t="s">
        <v>119</v>
      </c>
      <c r="C67" s="20"/>
      <c r="D67" s="132"/>
      <c r="E67" s="43"/>
      <c r="F67" s="54" t="s">
        <v>119</v>
      </c>
      <c r="G67" s="20"/>
      <c r="H67" s="179"/>
    </row>
    <row r="68" spans="1:8" ht="15" customHeight="1" x14ac:dyDescent="0.35">
      <c r="A68" s="55"/>
      <c r="B68" s="54" t="s">
        <v>120</v>
      </c>
      <c r="C68" s="20"/>
      <c r="D68" s="132"/>
      <c r="E68" s="43"/>
      <c r="F68" s="54" t="s">
        <v>120</v>
      </c>
      <c r="G68" s="20"/>
      <c r="H68" s="179"/>
    </row>
    <row r="69" spans="1:8" ht="15" customHeight="1" x14ac:dyDescent="0.35">
      <c r="A69" s="55"/>
      <c r="B69" s="54" t="s">
        <v>121</v>
      </c>
      <c r="C69" s="80"/>
      <c r="D69" s="134"/>
      <c r="E69" s="43"/>
      <c r="F69" s="54" t="s">
        <v>121</v>
      </c>
      <c r="G69" s="80"/>
      <c r="H69" s="134"/>
    </row>
    <row r="70" spans="1:8" ht="15" customHeight="1" x14ac:dyDescent="0.35">
      <c r="A70" s="55"/>
      <c r="B70" s="54" t="s">
        <v>92</v>
      </c>
      <c r="C70" s="81" t="s">
        <v>104</v>
      </c>
      <c r="D70" s="121" t="s">
        <v>104</v>
      </c>
      <c r="E70" s="43"/>
      <c r="F70" s="54" t="s">
        <v>92</v>
      </c>
      <c r="G70" s="81" t="s">
        <v>104</v>
      </c>
      <c r="H70" s="172" t="s">
        <v>104</v>
      </c>
    </row>
    <row r="71" spans="1:8" ht="15" customHeight="1" x14ac:dyDescent="0.35">
      <c r="A71" s="55"/>
      <c r="B71" s="54" t="s">
        <v>98</v>
      </c>
      <c r="C71" s="82"/>
      <c r="D71" s="135"/>
      <c r="E71" s="43"/>
      <c r="F71" s="54" t="s">
        <v>98</v>
      </c>
      <c r="G71" s="82"/>
      <c r="H71" s="172"/>
    </row>
    <row r="72" spans="1:8" ht="15" customHeight="1" x14ac:dyDescent="0.35">
      <c r="A72" s="55"/>
      <c r="B72" s="54" t="s">
        <v>94</v>
      </c>
      <c r="C72" s="82"/>
      <c r="D72" s="135"/>
      <c r="E72" s="43"/>
      <c r="F72" s="54" t="s">
        <v>94</v>
      </c>
      <c r="G72" s="82"/>
      <c r="H72" s="172"/>
    </row>
    <row r="73" spans="1:8" ht="15" customHeight="1" x14ac:dyDescent="0.35">
      <c r="A73" s="55"/>
      <c r="B73" s="54" t="s">
        <v>96</v>
      </c>
      <c r="C73" s="82"/>
      <c r="D73" s="136"/>
      <c r="E73" s="43"/>
      <c r="F73" s="54" t="s">
        <v>96</v>
      </c>
      <c r="G73" s="82"/>
      <c r="H73" s="173"/>
    </row>
    <row r="74" spans="1:8" ht="15" customHeight="1" x14ac:dyDescent="0.35">
      <c r="A74" s="55"/>
      <c r="B74" s="77" t="s">
        <v>100</v>
      </c>
      <c r="C74" s="83" t="s">
        <v>104</v>
      </c>
      <c r="D74" s="139" t="s">
        <v>104</v>
      </c>
      <c r="E74" s="43"/>
      <c r="F74" s="77" t="s">
        <v>100</v>
      </c>
      <c r="G74" s="83" t="s">
        <v>104</v>
      </c>
      <c r="H74" s="174" t="s">
        <v>104</v>
      </c>
    </row>
    <row r="75" spans="1:8" ht="15" customHeight="1" x14ac:dyDescent="0.35"/>
    <row r="76" spans="1:8" ht="15" customHeight="1" x14ac:dyDescent="0.35"/>
    <row r="77" spans="1:8" ht="15" customHeight="1" x14ac:dyDescent="0.35"/>
    <row r="78" spans="1:8" ht="15" customHeight="1" x14ac:dyDescent="0.35">
      <c r="B78" s="239" t="s">
        <v>124</v>
      </c>
      <c r="C78" s="240"/>
    </row>
    <row r="79" spans="1:8" ht="15" customHeight="1" x14ac:dyDescent="0.35">
      <c r="B79" s="21" t="s">
        <v>125</v>
      </c>
      <c r="C79" s="20"/>
    </row>
    <row r="80" spans="1:8" ht="15" customHeight="1" x14ac:dyDescent="0.35">
      <c r="B80" s="21" t="s">
        <v>126</v>
      </c>
      <c r="C80" s="20"/>
    </row>
    <row r="81" spans="2:3" ht="15" customHeight="1" x14ac:dyDescent="0.35">
      <c r="B81" s="21" t="s">
        <v>127</v>
      </c>
      <c r="C81" s="22"/>
    </row>
    <row r="82" spans="2:3" ht="15" customHeight="1" x14ac:dyDescent="0.35">
      <c r="B82" s="21" t="s">
        <v>128</v>
      </c>
      <c r="C82" s="22"/>
    </row>
    <row r="83" spans="2:3" ht="15" customHeight="1" x14ac:dyDescent="0.35">
      <c r="B83" s="23" t="s">
        <v>129</v>
      </c>
      <c r="C83" s="24"/>
    </row>
    <row r="131" spans="2:7" hidden="1" x14ac:dyDescent="0.35"/>
    <row r="132" spans="2:7" hidden="1" x14ac:dyDescent="0.35"/>
    <row r="133" spans="2:7" hidden="1" x14ac:dyDescent="0.35">
      <c r="B133" s="29" t="s">
        <v>130</v>
      </c>
      <c r="C133" s="29">
        <f>_xlfn.IFNA(VLOOKUP($C$53,MeasureConfidence[[#All],[Measure Confidence Level]:[Confidence Score]],2,FALSE),0)</f>
        <v>0</v>
      </c>
      <c r="F133" s="58" t="s">
        <v>131</v>
      </c>
      <c r="G133" s="29">
        <f>_xlfn.IFNA(VLOOKUP($D$53,MeasureConfidence[[#All],[Measure Confidence Level]:[Confidence Score]],2,FALSE),0)</f>
        <v>0</v>
      </c>
    </row>
    <row r="134" spans="2:7" hidden="1" x14ac:dyDescent="0.35">
      <c r="B134" s="29" t="s">
        <v>132</v>
      </c>
      <c r="C134" s="29">
        <f>_xlfn.IFNA(VLOOKUP($G$53,MeasureConfidence[[#All],[Measure Confidence Level]:[Confidence Score]],2,FALSE),0)</f>
        <v>0</v>
      </c>
      <c r="F134" s="58" t="s">
        <v>133</v>
      </c>
      <c r="G134" s="29">
        <f>_xlfn.IFNA(VLOOKUP($H$53,MeasureConfidence[[#All],[Measure Confidence Level]:[Confidence Score]],2,FALSE),0)</f>
        <v>0</v>
      </c>
    </row>
    <row r="135" spans="2:7" hidden="1" x14ac:dyDescent="0.35">
      <c r="B135" s="29" t="s">
        <v>134</v>
      </c>
      <c r="C135" s="29">
        <f>_xlfn.IFNA(VLOOKUP($C$74,MeasureConfidence[[#All],[Measure Confidence Level]:[Confidence Score]],2,FALSE),0)</f>
        <v>0</v>
      </c>
      <c r="F135" s="58" t="s">
        <v>135</v>
      </c>
      <c r="G135" s="29">
        <f>_xlfn.IFNA(VLOOKUP($D$74,MeasureConfidence[[#All],[Measure Confidence Level]:[Confidence Score]],2,FALSE),0)</f>
        <v>0</v>
      </c>
    </row>
    <row r="136" spans="2:7" hidden="1" x14ac:dyDescent="0.35">
      <c r="B136" s="29" t="s">
        <v>136</v>
      </c>
      <c r="C136" s="29">
        <f>_xlfn.IFNA(VLOOKUP($G$74,MeasureConfidence[[#All],[Measure Confidence Level]:[Confidence Score]],2,FALSE),0)</f>
        <v>0</v>
      </c>
      <c r="F136" s="58" t="s">
        <v>137</v>
      </c>
      <c r="G136" s="29">
        <f>_xlfn.IFNA(VLOOKUP($H$74,MeasureConfidence[[#All],[Measure Confidence Level]:[Confidence Score]],2,FALSE),0)</f>
        <v>0</v>
      </c>
    </row>
    <row r="137" spans="2:7" hidden="1" x14ac:dyDescent="0.35">
      <c r="B137" s="29"/>
      <c r="C137" s="29"/>
      <c r="F137" s="58"/>
      <c r="G137" s="29"/>
    </row>
    <row r="138" spans="2:7" hidden="1" x14ac:dyDescent="0.35">
      <c r="B138" s="29" t="s">
        <v>138</v>
      </c>
      <c r="C138" s="29" t="e">
        <f>ROUND(AVERAGEIF(C133:C136,"&gt;0"),0)</f>
        <v>#DIV/0!</v>
      </c>
      <c r="F138" s="58" t="s">
        <v>138</v>
      </c>
      <c r="G138" s="29" t="e">
        <f>ROUND(AVERAGEIF(G133:G136,"&gt;0"),0)</f>
        <v>#DIV/0!</v>
      </c>
    </row>
    <row r="139" spans="2:7" hidden="1" x14ac:dyDescent="0.35">
      <c r="B139" s="29"/>
      <c r="C139" s="29"/>
      <c r="F139" s="58"/>
      <c r="G139" s="29"/>
    </row>
    <row r="140" spans="2:7" hidden="1" x14ac:dyDescent="0.35">
      <c r="B140" s="29" t="s">
        <v>139</v>
      </c>
      <c r="C140" s="29">
        <f>_xlfn.MINIFS(C133:C136,C133:C136,"&gt;0")</f>
        <v>0</v>
      </c>
      <c r="F140" s="58" t="s">
        <v>139</v>
      </c>
      <c r="G140" s="29">
        <f>_xlfn.MINIFS(G133:G136,G133:G136,"&gt;0")</f>
        <v>0</v>
      </c>
    </row>
    <row r="141" spans="2:7" hidden="1" x14ac:dyDescent="0.35"/>
    <row r="142" spans="2:7" hidden="1" x14ac:dyDescent="0.35"/>
    <row r="143" spans="2:7" hidden="1" x14ac:dyDescent="0.35"/>
    <row r="144" spans="2:7" hidden="1" x14ac:dyDescent="0.35"/>
  </sheetData>
  <sheetProtection algorithmName="SHA-512" hashValue="BjZMfmD7OGOvJNkdIuLOQlraY8krbBcwR/PHP7Yg7NwbUDvOl3Ts1axkI+okuRVsPlrFHZas7jtjCoJrK+AY1A==" saltValue="4JtwSOGGm5KlCuXxEMZPuQ==" spinCount="100000" sheet="1" formatColumns="0" formatRows="0"/>
  <dataConsolidate link="1"/>
  <mergeCells count="7">
    <mergeCell ref="H24:H25"/>
    <mergeCell ref="D21:D25"/>
    <mergeCell ref="G24:G25"/>
    <mergeCell ref="B78:C78"/>
    <mergeCell ref="C21:C25"/>
    <mergeCell ref="B21:B25"/>
    <mergeCell ref="F24:F25"/>
  </mergeCells>
  <dataValidations xWindow="625" yWindow="537" count="20">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6:D47 C79:C80 C63:D63 G42:H42 G46:H47 G63:H63 G67:H68 C67:D68 C42:D42" xr:uid="{A68CB5B8-E929-4235-B84C-CDD6EC732BE5}">
      <formula1>1</formula1>
    </dataValidation>
    <dataValidation type="decimal" errorStyle="warning" allowBlank="1" showInputMessage="1" showErrorMessage="1" sqref="H48 D69 D48 H69" xr:uid="{7BAB918C-F737-4C7D-BAFA-1BC5073D1C91}">
      <formula1>0</formula1>
      <formula2>1</formula2>
    </dataValidation>
    <dataValidation type="decimal" allowBlank="1" showInputMessage="1" showErrorMessage="1" sqref="C48 G48 C69 G69" xr:uid="{6BD7C991-520C-42B8-A474-DCA177EEADF2}">
      <formula1>0</formula1>
      <formula2>1</formula2>
    </dataValidation>
    <dataValidation type="custom" allowBlank="1" showInputMessage="1" showErrorMessage="1" error="Please type INV- followed by a number, i.e., INV-12345####." prompt="Please type INV- followed by a number, i.e., INV-12345####." sqref="C10" xr:uid="{9B71867E-1DDA-46EA-8830-64E0AA5FFD30}">
      <formula1>AND(LEFT(C10, 4)="INV-", ISNUMBER(VALUE(MID(C10, 5, LEN(C10)-4))))</formula1>
    </dataValidation>
    <dataValidation allowBlank="1" showInputMessage="1" showErrorMessage="1" prompt="Automatically calculated based on the lowest Benefit Confidence Level of the Measures/KPIs." sqref="G30:H30" xr:uid="{AA2826B3-1C04-4117-ABBE-1E11DC7837FD}"/>
    <dataValidation allowBlank="1" showInputMessage="1" showErrorMessage="1" prompt="Automatically populated based on the earliest Realisation Start Date of the Measure/KPI date." sqref="G28" xr:uid="{2D14FBA0-5609-4FCF-B683-F1646C01DF61}"/>
    <dataValidation allowBlank="1" showInputMessage="1" showErrorMessage="1" prompt="Automatically populated based on the latest Realisation End Date of the Measure/KPI date." sqref="G29:H29" xr:uid="{72BBD543-7ECC-4AFD-9EA7-FFDD67A25867}"/>
    <dataValidation operator="greaterThanOrEqual" allowBlank="1" showInputMessage="1" showErrorMessage="1" sqref="C40" xr:uid="{BD9FAC42-EBB6-49A4-812C-9F27062EE857}"/>
    <dataValidation type="date" operator="greaterThan" allowBlank="1" showInputMessage="1" showErrorMessage="1" sqref="G21 G23" xr:uid="{DF22D197-7534-4F2B-9B64-5877C5E5E31E}">
      <formula1>36526</formula1>
    </dataValidation>
    <dataValidation type="decimal" operator="greaterThan" allowBlank="1" showInputMessage="1" showErrorMessage="1" error="Numerical value only please" prompt="Numerical value only please" sqref="G43:G44 G64:G65 C64:C65 C43:C44" xr:uid="{4D191649-E4A7-442B-B026-B3ADBD0B1B56}">
      <formula1>0.0000000000001</formula1>
    </dataValidation>
    <dataValidation allowBlank="1" showInputMessage="1" showErrorMessage="1" prompt="Automatically populated when the Measure Name's cell is entered/filled" sqref="C56 G35 G56 C35" xr:uid="{90E94F18-3058-4F0B-9EF6-19584637440D}"/>
    <dataValidation allowBlank="1" showInputMessage="1" showErrorMessage="1" prompt="DTA numbering system. Automatically populated when the DTA Investment ID is filled." sqref="C18" xr:uid="{D2A2FF09-E9D2-4801-972C-46D2E83E810B}"/>
    <dataValidation type="list" allowBlank="1" showInputMessage="1" showErrorMessage="1" sqref="C28" xr:uid="{2977E530-7700-4BD3-80D6-248B4DCBCB85}">
      <formula1>"Please select, Financial - Cashable, Financial - Non-Cashable, Non-financial"</formula1>
    </dataValidation>
    <dataValidation type="list" allowBlank="1" showInputMessage="1" showErrorMessage="1" sqref="C29" xr:uid="{A1951910-65BE-4ABA-9605-4BC37CD0B875}">
      <formula1>"Please select, Benefit, Disbenefit"</formula1>
    </dataValidation>
    <dataValidation type="list" allowBlank="1" showInputMessage="1" showErrorMessage="1" sqref="C31" xr:uid="{35C74DB1-2C5C-48E1-B6A6-BFC62D6226E4}">
      <formula1>"Please select, Agency, Business, Citizen, Government"</formula1>
    </dataValidation>
    <dataValidation type="list" allowBlank="1" showInputMessage="1" showErrorMessage="1" sqref="C32" xr:uid="{8F6EFA47-CB1D-42F7-852E-7E4954B79A26}">
      <formula1>"Please select, Data and digital foundations, Delivering for all people and business, Government for the future, Simple and seamless services, Trusted and secure"</formula1>
    </dataValidation>
    <dataValidation type="list" allowBlank="1" showInputMessage="1" showErrorMessage="1" sqref="C49 G49 C70:D70 G70" xr:uid="{9985DA6D-0814-4917-8617-CDCA8F0A8B9E}">
      <formula1>"Please select, Weekly, Fortnightly, In planning, Monthly, Quarterly, Biannually, Year (calendar), Year (financial)"</formula1>
    </dataValidation>
    <dataValidation type="list" operator="greaterThanOrEqual" allowBlank="1" showInputMessage="1" showErrorMessage="1" sqref="C41:D41 G41:H41 C62:D62 G62:H62" xr:uid="{136012D3-FC14-49EC-BD31-87778D156142}">
      <formula1>"Please select, Increase, Decrease"</formula1>
    </dataValidation>
    <dataValidation type="decimal" errorStyle="information" operator="greaterThan" allowBlank="1" showInputMessage="1" showErrorMessage="1" error="Numerical value only please" prompt="Numerical value only please" sqref="G45:H45 C45:D45 C66:D66 G66:H66" xr:uid="{59D78697-DFF2-4863-9561-CBE9F026A2B7}">
      <formula1>0</formula1>
    </dataValidation>
    <dataValidation type="decimal" operator="greaterThan" allowBlank="1" showInputMessage="1" showErrorMessage="1" sqref="H43:H44 D43:D44 D64:D65 H64:H65" xr:uid="{745CC51E-F6DE-4D46-9573-69F6E45E4531}">
      <formula1>0.0000000000001</formula1>
    </dataValidation>
  </dataValidations>
  <printOptions horizontalCentered="1"/>
  <pageMargins left="0" right="0" top="0.74803149606299213" bottom="0.35433070866141736" header="0.31496062992125984" footer="0.31496062992125984"/>
  <pageSetup paperSize="9" scale="71" orientation="portrait" r:id="rId1"/>
  <drawing r:id="rId2"/>
  <extLst>
    <ext xmlns:x14="http://schemas.microsoft.com/office/spreadsheetml/2009/9/main" uri="{CCE6A557-97BC-4b89-ADB6-D9C93CAAB3DF}">
      <x14:dataValidations xmlns:xm="http://schemas.microsoft.com/office/excel/2006/main" xWindow="625" yWindow="537" count="8">
        <x14:dataValidation type="list" allowBlank="1" showInputMessage="1" showErrorMessage="1" xr:uid="{D7A3ADCB-ACB1-4280-BEA4-28346CBF0CC2}">
          <x14:formula1>
            <xm:f>'Validation Table'!$C$3:$C$17</xm:f>
          </x14:formula1>
          <xm:sqref>C30:D30</xm:sqref>
        </x14:dataValidation>
        <x14:dataValidation type="list" allowBlank="1" showInputMessage="1" showErrorMessage="1" xr:uid="{E0A4F222-572F-4490-9138-9470485E9CE8}">
          <x14:formula1>
            <xm:f>'Validation Table'!$B$3:$B$6</xm:f>
          </x14:formula1>
          <xm:sqref>D28</xm:sqref>
        </x14:dataValidation>
        <x14:dataValidation type="list" allowBlank="1" showInputMessage="1" showErrorMessage="1" xr:uid="{E5001B20-D029-4F3F-9E2A-63C127F59A82}">
          <x14:formula1>
            <xm:f>'Validation Table'!$E$3:$E$7</xm:f>
          </x14:formula1>
          <xm:sqref>D31</xm:sqref>
        </x14:dataValidation>
        <x14:dataValidation type="list" allowBlank="1" showInputMessage="1" showErrorMessage="1" xr:uid="{D43F0E4B-F92C-498C-9C5B-3B9E8C20A3F4}">
          <x14:formula1>
            <xm:f>'Validation Table'!$F$3:$F$8</xm:f>
          </x14:formula1>
          <xm:sqref>D32</xm:sqref>
        </x14:dataValidation>
        <x14:dataValidation type="list" allowBlank="1" showInputMessage="1" showErrorMessage="1" xr:uid="{9D90E43B-786B-4E07-8914-36F1AEFA2B5F}">
          <x14:formula1>
            <xm:f>'Validation Table'!$H$3:$H$11</xm:f>
          </x14:formula1>
          <xm:sqref>H70 H49 D49</xm:sqref>
        </x14:dataValidation>
        <x14:dataValidation type="list" allowBlank="1" showInputMessage="1" showErrorMessage="1" xr:uid="{E326B97E-A375-4868-B3B7-80DF4B5036C4}">
          <x14:formula1>
            <xm:f>'Validation Table'!$I$3:$I$8</xm:f>
          </x14:formula1>
          <xm:sqref>C74:D74 G74:H74 G53:H53 C53 D53</xm:sqref>
        </x14:dataValidation>
        <x14:dataValidation type="list" allowBlank="1" showInputMessage="1" showErrorMessage="1" xr:uid="{70C6AF64-B1D0-4FC2-AA60-9DBCE2E2B6F5}">
          <x14:formula1>
            <xm:f>'0. PortfolioAgencyLinks'!$T$1:$T$193</xm:f>
          </x14:formula1>
          <xm:sqref>C12:C14</xm:sqref>
        </x14:dataValidation>
        <x14:dataValidation type="list" allowBlank="1" showInputMessage="1" showErrorMessage="1" xr:uid="{5036E72B-112A-45F2-A78A-8519C436020D}">
          <x14:formula1>
            <xm:f>'Validation Table'!$D$3:$D$7</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77280-E6E5-4C7B-81D7-C2990248BF54}">
  <sheetPr>
    <tabColor rgb="FFC8EBD7"/>
    <pageSetUpPr fitToPage="1"/>
  </sheetPr>
  <dimension ref="A1:O146"/>
  <sheetViews>
    <sheetView zoomScale="90" zoomScaleNormal="90" workbookViewId="0">
      <selection activeCell="C10" sqref="C10"/>
    </sheetView>
  </sheetViews>
  <sheetFormatPr defaultColWidth="9.1796875" defaultRowHeight="14.5" outlineLevelCol="1" x14ac:dyDescent="0.35"/>
  <cols>
    <col min="1" max="1" width="2" style="3" customWidth="1"/>
    <col min="2" max="3" width="45.7265625" style="3" customWidth="1"/>
    <col min="4" max="4" width="45.7265625" style="55" hidden="1" customWidth="1" outlineLevel="1"/>
    <col min="5" max="5" width="5.7265625" style="3" customWidth="1" collapsed="1"/>
    <col min="6" max="6" width="45.7265625" style="55" customWidth="1"/>
    <col min="7" max="7" width="45.7265625" style="3" customWidth="1"/>
    <col min="8" max="8" width="45.7265625" style="55"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42"/>
      <c r="D1" s="42"/>
      <c r="E1" s="42"/>
      <c r="F1" s="42"/>
      <c r="G1" s="42"/>
      <c r="H1" s="42"/>
    </row>
    <row r="2" spans="1:15" x14ac:dyDescent="0.35">
      <c r="A2" s="42"/>
      <c r="B2" s="42"/>
      <c r="C2" s="42"/>
      <c r="D2" s="42"/>
      <c r="E2" s="42"/>
      <c r="F2" s="42"/>
      <c r="G2" s="42"/>
      <c r="H2" s="42"/>
    </row>
    <row r="3" spans="1:15" x14ac:dyDescent="0.35">
      <c r="A3" s="42"/>
      <c r="B3" s="42"/>
      <c r="C3" s="42"/>
      <c r="D3" s="42"/>
      <c r="E3" s="42"/>
      <c r="F3" s="42"/>
      <c r="G3" s="42"/>
      <c r="H3" s="42"/>
    </row>
    <row r="4" spans="1:15" ht="42" customHeight="1" x14ac:dyDescent="0.35">
      <c r="A4" s="42"/>
      <c r="B4" s="42"/>
      <c r="C4" s="42"/>
      <c r="D4" s="42"/>
      <c r="E4" s="42"/>
      <c r="F4" s="42"/>
      <c r="G4" s="42"/>
      <c r="H4" s="42"/>
    </row>
    <row r="5" spans="1:15" ht="46" x14ac:dyDescent="0.35">
      <c r="A5" s="42"/>
      <c r="B5" s="204" t="s">
        <v>140</v>
      </c>
      <c r="C5" s="57"/>
      <c r="D5" s="152"/>
      <c r="E5" s="56"/>
      <c r="F5" s="56"/>
      <c r="G5" s="42"/>
      <c r="H5" s="42"/>
    </row>
    <row r="6" spans="1:15" x14ac:dyDescent="0.35">
      <c r="A6" s="42"/>
      <c r="B6" s="42"/>
      <c r="C6" s="42"/>
      <c r="D6" s="42"/>
      <c r="E6" s="42"/>
      <c r="F6" s="42"/>
      <c r="G6" s="42"/>
      <c r="H6" s="42"/>
    </row>
    <row r="7" spans="1:15" ht="15" customHeight="1" x14ac:dyDescent="0.35">
      <c r="A7" s="42"/>
      <c r="B7" s="56"/>
      <c r="C7" s="152"/>
      <c r="D7" s="153"/>
      <c r="E7" s="43"/>
      <c r="F7" s="43"/>
      <c r="G7" s="147"/>
      <c r="H7" s="147"/>
    </row>
    <row r="8" spans="1:15" ht="15" customHeight="1" x14ac:dyDescent="0.35">
      <c r="A8" s="42"/>
      <c r="B8" s="42"/>
      <c r="C8" s="187"/>
      <c r="D8" s="147"/>
      <c r="E8" s="43"/>
      <c r="F8" s="43"/>
      <c r="G8" s="147"/>
      <c r="H8" s="147"/>
    </row>
    <row r="9" spans="1:15" s="4" customFormat="1" ht="15" customHeight="1" x14ac:dyDescent="0.35">
      <c r="A9" s="44"/>
      <c r="B9" s="45" t="s">
        <v>103</v>
      </c>
      <c r="C9" s="189"/>
      <c r="D9" s="147"/>
      <c r="E9" s="43"/>
      <c r="F9" s="43"/>
      <c r="G9" s="147"/>
      <c r="H9" s="147"/>
      <c r="J9" s="3"/>
      <c r="K9" s="3"/>
      <c r="L9" s="3"/>
      <c r="M9" s="3"/>
      <c r="N9" s="3"/>
      <c r="O9" s="3"/>
    </row>
    <row r="10" spans="1:15" ht="15" customHeight="1" x14ac:dyDescent="0.35">
      <c r="A10" s="42"/>
      <c r="B10" s="88" t="s">
        <v>29</v>
      </c>
      <c r="C10" s="92">
        <f>'Benefit Profile 1'!$C$10</f>
        <v>0</v>
      </c>
      <c r="D10" s="147"/>
      <c r="E10" s="43"/>
      <c r="F10" s="43"/>
      <c r="G10" s="147"/>
      <c r="H10" s="147"/>
    </row>
    <row r="11" spans="1:15" ht="15" customHeight="1" x14ac:dyDescent="0.35">
      <c r="A11" s="42"/>
      <c r="B11" s="90" t="s">
        <v>30</v>
      </c>
      <c r="C11" s="92">
        <f>'Benefit Profile 1'!$C$11</f>
        <v>0</v>
      </c>
      <c r="D11" s="147"/>
      <c r="E11" s="43"/>
      <c r="F11" s="43"/>
      <c r="G11" s="147"/>
      <c r="H11" s="147"/>
    </row>
    <row r="12" spans="1:15" ht="15" customHeight="1" x14ac:dyDescent="0.35">
      <c r="A12" s="42"/>
      <c r="B12" s="90" t="s">
        <v>31</v>
      </c>
      <c r="C12" s="97" t="str">
        <f>'Benefit Profile 1'!$C$12</f>
        <v>Please select</v>
      </c>
      <c r="D12" s="147"/>
      <c r="E12" s="43"/>
      <c r="F12" s="43"/>
      <c r="G12" s="147"/>
      <c r="H12" s="147"/>
    </row>
    <row r="13" spans="1:15" ht="15" customHeight="1" x14ac:dyDescent="0.35">
      <c r="A13" s="42"/>
      <c r="B13" s="90" t="s">
        <v>33</v>
      </c>
      <c r="C13" s="97" t="str">
        <f>'Benefit Profile 1'!$C$13</f>
        <v>Please select</v>
      </c>
      <c r="D13" s="147"/>
      <c r="E13" s="43"/>
      <c r="F13" s="43"/>
      <c r="G13" s="147"/>
      <c r="H13" s="147"/>
    </row>
    <row r="14" spans="1:15" ht="30" customHeight="1" x14ac:dyDescent="0.35">
      <c r="A14" s="42"/>
      <c r="B14" s="91" t="s">
        <v>105</v>
      </c>
      <c r="C14" s="97" t="str">
        <f>'Benefit Profile 1'!$C$14</f>
        <v>Please select</v>
      </c>
      <c r="D14" s="147"/>
      <c r="E14" s="43"/>
      <c r="F14" s="43"/>
      <c r="G14" s="147"/>
      <c r="H14" s="147"/>
    </row>
    <row r="15" spans="1:15" ht="15" customHeight="1" x14ac:dyDescent="0.35">
      <c r="A15" s="42"/>
      <c r="B15" s="43"/>
      <c r="C15" s="187"/>
      <c r="D15" s="147"/>
      <c r="E15" s="43"/>
      <c r="F15" s="43"/>
      <c r="G15" s="147"/>
      <c r="H15" s="147"/>
    </row>
    <row r="16" spans="1:15" ht="15" customHeight="1" x14ac:dyDescent="0.35">
      <c r="A16" s="42"/>
      <c r="B16" s="43"/>
      <c r="C16" s="187"/>
      <c r="D16" s="147"/>
      <c r="E16" s="43"/>
      <c r="F16" s="43"/>
      <c r="G16" s="147"/>
      <c r="H16" s="147"/>
    </row>
    <row r="17" spans="1:15" s="4" customFormat="1" ht="15" customHeight="1" x14ac:dyDescent="0.35">
      <c r="A17" s="44"/>
      <c r="B17" s="47" t="s">
        <v>42</v>
      </c>
      <c r="C17" s="48"/>
      <c r="D17" s="154" t="s">
        <v>106</v>
      </c>
      <c r="E17" s="49"/>
      <c r="F17" s="47" t="s">
        <v>107</v>
      </c>
      <c r="G17" s="195"/>
      <c r="H17" s="148" t="s">
        <v>106</v>
      </c>
      <c r="J17" s="3"/>
      <c r="K17" s="3"/>
      <c r="L17" s="3"/>
      <c r="M17" s="3"/>
      <c r="N17" s="3"/>
      <c r="O17" s="3"/>
    </row>
    <row r="18" spans="1:15" s="30" customFormat="1" ht="15" customHeight="1" x14ac:dyDescent="0.35">
      <c r="A18" s="50"/>
      <c r="B18" s="54" t="s">
        <v>38</v>
      </c>
      <c r="C18" s="76" t="str">
        <f>IF(AND(LEFT(C10, 4)="INV-", ISNUMBER(VALUE(MID(C10, 5, LEN(C10)-4)))), C10 &amp; "-" &amp; VLOOKUP("Benefit Profile 2", BenefitNumbering[#All], 2, FALSE), "")</f>
        <v/>
      </c>
      <c r="D18" s="76" t="str">
        <f>IF(AND(LEFT(C10, 4)="INV-", ISNUMBER(VALUE(MID(C10, 5, LEN(C10)-4)))), C10 &amp; "-" &amp; VLOOKUP("Benefit Profile 2", BenefitNumberingVar[#All], 2, FALSE), "")</f>
        <v/>
      </c>
      <c r="E18" s="51"/>
      <c r="F18" s="54" t="s">
        <v>108</v>
      </c>
      <c r="G18" s="118">
        <f>'Benefit Profile 1'!$G$18</f>
        <v>0</v>
      </c>
      <c r="H18" s="197">
        <f>'Benefit Profile 1'!$H$18</f>
        <v>0</v>
      </c>
      <c r="J18" s="3"/>
      <c r="K18" s="3"/>
      <c r="L18" s="3"/>
      <c r="M18" s="3"/>
      <c r="N18" s="3"/>
      <c r="O18" s="3"/>
    </row>
    <row r="19" spans="1:15" ht="15" customHeight="1" x14ac:dyDescent="0.35">
      <c r="A19" s="42"/>
      <c r="B19" s="85" t="s">
        <v>109</v>
      </c>
      <c r="C19" s="41"/>
      <c r="D19" s="150"/>
      <c r="E19" s="43"/>
      <c r="F19" s="86" t="s">
        <v>110</v>
      </c>
      <c r="G19" s="118">
        <f>'Benefit Profile 1'!$G$19</f>
        <v>0</v>
      </c>
      <c r="H19" s="197">
        <f>'Benefit Profile 1'!$H$19</f>
        <v>0</v>
      </c>
    </row>
    <row r="20" spans="1:15" ht="15" customHeight="1" x14ac:dyDescent="0.35">
      <c r="A20" s="42"/>
      <c r="B20" s="85" t="s">
        <v>41</v>
      </c>
      <c r="C20" s="41"/>
      <c r="D20" s="150"/>
      <c r="E20" s="43"/>
      <c r="F20" s="86" t="s">
        <v>46</v>
      </c>
      <c r="G20" s="118">
        <f>'Benefit Profile 1'!$G$20</f>
        <v>0</v>
      </c>
      <c r="H20" s="197">
        <f>'Benefit Profile 1'!$H$20</f>
        <v>0</v>
      </c>
    </row>
    <row r="21" spans="1:15" ht="15" customHeight="1" x14ac:dyDescent="0.35">
      <c r="A21" s="42"/>
      <c r="B21" s="242" t="s">
        <v>42</v>
      </c>
      <c r="C21" s="241"/>
      <c r="D21" s="233"/>
      <c r="E21" s="43"/>
      <c r="F21" s="86" t="s">
        <v>111</v>
      </c>
      <c r="G21" s="99"/>
      <c r="H21" s="170"/>
    </row>
    <row r="22" spans="1:15" ht="15" customHeight="1" x14ac:dyDescent="0.35">
      <c r="A22" s="42"/>
      <c r="B22" s="243"/>
      <c r="C22" s="241"/>
      <c r="D22" s="235"/>
      <c r="E22" s="43"/>
      <c r="F22" s="86" t="s">
        <v>112</v>
      </c>
      <c r="G22" s="97">
        <f>'Benefit Profile 1'!$G$22</f>
        <v>0</v>
      </c>
      <c r="H22" s="97">
        <f>'Benefit Profile 1'!$H$22</f>
        <v>0</v>
      </c>
    </row>
    <row r="23" spans="1:15" ht="15" customHeight="1" x14ac:dyDescent="0.35">
      <c r="A23" s="42"/>
      <c r="B23" s="243"/>
      <c r="C23" s="241"/>
      <c r="D23" s="235"/>
      <c r="E23" s="43"/>
      <c r="F23" s="86" t="s">
        <v>113</v>
      </c>
      <c r="G23" s="99"/>
      <c r="H23" s="170"/>
    </row>
    <row r="24" spans="1:15" ht="15" customHeight="1" x14ac:dyDescent="0.35">
      <c r="A24" s="42"/>
      <c r="B24" s="243"/>
      <c r="C24" s="241"/>
      <c r="D24" s="235"/>
      <c r="E24" s="43"/>
      <c r="F24" s="242" t="s">
        <v>48</v>
      </c>
      <c r="G24" s="237"/>
      <c r="H24" s="233"/>
    </row>
    <row r="25" spans="1:15" ht="15" customHeight="1" x14ac:dyDescent="0.35">
      <c r="A25" s="42"/>
      <c r="B25" s="244"/>
      <c r="C25" s="238"/>
      <c r="D25" s="236"/>
      <c r="E25" s="43"/>
      <c r="F25" s="244"/>
      <c r="G25" s="238"/>
      <c r="H25" s="236"/>
    </row>
    <row r="26" spans="1:15" s="4" customFormat="1" ht="15" customHeight="1" x14ac:dyDescent="0.35">
      <c r="A26" s="44"/>
      <c r="B26" s="52"/>
      <c r="C26" s="187"/>
      <c r="D26" s="147"/>
      <c r="E26" s="43"/>
      <c r="F26" s="43"/>
      <c r="G26" s="147"/>
      <c r="H26" s="151"/>
      <c r="J26" s="3"/>
      <c r="K26" s="3"/>
      <c r="L26" s="3"/>
      <c r="M26" s="3"/>
      <c r="N26" s="3"/>
      <c r="O26" s="3"/>
    </row>
    <row r="27" spans="1:15" ht="15" customHeight="1" x14ac:dyDescent="0.35">
      <c r="A27" s="42"/>
      <c r="B27" s="47" t="s">
        <v>50</v>
      </c>
      <c r="C27" s="48"/>
      <c r="D27" s="148" t="s">
        <v>106</v>
      </c>
      <c r="E27" s="53"/>
      <c r="F27" s="47" t="s">
        <v>114</v>
      </c>
      <c r="G27" s="195"/>
      <c r="H27" s="148" t="s">
        <v>106</v>
      </c>
    </row>
    <row r="28" spans="1:15" ht="15" customHeight="1" x14ac:dyDescent="0.35">
      <c r="A28" s="42"/>
      <c r="B28" s="54" t="s">
        <v>51</v>
      </c>
      <c r="C28" s="41" t="s">
        <v>104</v>
      </c>
      <c r="D28" s="149" t="s">
        <v>104</v>
      </c>
      <c r="E28" s="43"/>
      <c r="F28" s="54" t="s">
        <v>62</v>
      </c>
      <c r="G28" s="75" t="str">
        <f>IF(AND($C$46="",$G$46="",$C$67="",$G$67=""),"",MIN($C$46,$G$46,$C$67,$G$67))</f>
        <v/>
      </c>
      <c r="H28" s="75" t="str">
        <f>IF(AND(D46="",$H$46="",$D$67="",$H$67=""),"",MIN($D$46,$H$46,$D$67,$H$67))</f>
        <v/>
      </c>
    </row>
    <row r="29" spans="1:15" ht="15" customHeight="1" x14ac:dyDescent="0.35">
      <c r="A29" s="42"/>
      <c r="B29" s="54" t="s">
        <v>53</v>
      </c>
      <c r="C29" s="41" t="s">
        <v>104</v>
      </c>
      <c r="D29" s="149" t="s">
        <v>104</v>
      </c>
      <c r="E29" s="43"/>
      <c r="F29" s="54" t="s">
        <v>64</v>
      </c>
      <c r="G29" s="75" t="str">
        <f>IF(AND($C$47="",$G$47="",$C$68="",$G$68=""),"",MAX($C$47,$G$47,$C$68,$G$68))</f>
        <v/>
      </c>
      <c r="H29" s="75" t="str">
        <f>IF(AND($D$47="",$H$47="",$D$68="",$H$68=""),"",MAX($D$47,$H$47,$D$68,$H$68))</f>
        <v/>
      </c>
    </row>
    <row r="30" spans="1:15" ht="15" customHeight="1" x14ac:dyDescent="0.35">
      <c r="A30" s="42"/>
      <c r="B30" s="54" t="s">
        <v>55</v>
      </c>
      <c r="C30" s="41" t="s">
        <v>104</v>
      </c>
      <c r="D30" s="149" t="s">
        <v>104</v>
      </c>
      <c r="E30" s="43"/>
      <c r="F30" s="119" t="s">
        <v>66</v>
      </c>
      <c r="G30" s="120" t="str">
        <f>IF(VLOOKUP($C$140,MeasureConfidence[[#All],[Confidence Score]:[Cross Ref]],2,FALSE)=0,"",VLOOKUP($C$140,MeasureConfidence[[#All],[Confidence Score]:[Cross Ref]],2,FALSE))</f>
        <v/>
      </c>
      <c r="H30" s="120" t="str">
        <f>IF(VLOOKUP($G$140,MeasureConfidence[[#All],[Confidence Score]:[Cross Ref]],2,FALSE)=0,"",VLOOKUP($G$140,MeasureConfidence[[#All],[Confidence Score]:[Cross Ref]],2,FALSE))</f>
        <v/>
      </c>
    </row>
    <row r="31" spans="1:15" ht="15" customHeight="1" x14ac:dyDescent="0.35">
      <c r="A31" s="42"/>
      <c r="B31" s="54" t="s">
        <v>57</v>
      </c>
      <c r="C31" s="41" t="s">
        <v>104</v>
      </c>
      <c r="D31" s="149" t="s">
        <v>104</v>
      </c>
      <c r="E31" s="43"/>
      <c r="F31" s="43"/>
      <c r="G31" s="147"/>
      <c r="H31" s="147"/>
    </row>
    <row r="32" spans="1:15" ht="15" customHeight="1" x14ac:dyDescent="0.35">
      <c r="A32" s="42"/>
      <c r="B32" s="74" t="s">
        <v>59</v>
      </c>
      <c r="C32" s="84" t="s">
        <v>104</v>
      </c>
      <c r="D32" s="155" t="s">
        <v>104</v>
      </c>
      <c r="E32" s="43"/>
      <c r="F32" s="43"/>
      <c r="G32" s="147"/>
      <c r="H32" s="147"/>
    </row>
    <row r="33" spans="1:8" ht="15" customHeight="1" x14ac:dyDescent="0.35">
      <c r="A33" s="42"/>
      <c r="B33" s="52"/>
      <c r="C33" s="187"/>
      <c r="D33" s="147"/>
      <c r="E33" s="43"/>
      <c r="F33" s="43"/>
      <c r="G33" s="147"/>
      <c r="H33" s="147"/>
    </row>
    <row r="34" spans="1:8" ht="15" customHeight="1" x14ac:dyDescent="0.35">
      <c r="A34" s="42"/>
      <c r="B34" s="47" t="s">
        <v>115</v>
      </c>
      <c r="C34" s="48"/>
      <c r="D34" s="154" t="s">
        <v>106</v>
      </c>
      <c r="E34" s="43"/>
      <c r="F34" s="47" t="s">
        <v>116</v>
      </c>
      <c r="G34" s="195"/>
      <c r="H34" s="148" t="s">
        <v>106</v>
      </c>
    </row>
    <row r="35" spans="1:8" ht="15" customHeight="1" x14ac:dyDescent="0.35">
      <c r="A35" s="42"/>
      <c r="B35" s="54" t="s">
        <v>69</v>
      </c>
      <c r="C35" s="76" t="str">
        <f>IF(AND(LEFT($C$10, 4)="INV-", ISNUMBER(VALUE(MID($C$10, 5, LEN($C$10)-4))), $C$36&lt;&gt;""), $C$10 &amp; "-" &amp; VLOOKUP("Benefit Profile 2", BenefitNumbering[#All], 2, FALSE) &amp; "-1", "")</f>
        <v/>
      </c>
      <c r="D35" s="76" t="str">
        <f>IF(AND(LEFT($C$10, 4)="INV-", ISNUMBER(VALUE(MID($C$10, 5, LEN($C$10)-4))), $D$36&lt;&gt;""), $C$10 &amp; "-" &amp; VLOOKUP("Benefit Profile 2", BenefitNumberingVar[#All], 2, FALSE) &amp; "-1", "")</f>
        <v/>
      </c>
      <c r="E35" s="43"/>
      <c r="F35" s="54" t="s">
        <v>69</v>
      </c>
      <c r="G35" s="76" t="str">
        <f>IF(AND(LEFT($C$10, 4)="INV-", ISNUMBER(VALUE(MID($C$10, 5, LEN($C$10)-4))), $G$36&lt;&gt;""), $C$10 &amp; "-" &amp; VLOOKUP("Benefit Profile 2", BenefitNumbering[#All], 2, FALSE) &amp; "-2", "")</f>
        <v/>
      </c>
      <c r="H35" s="76" t="str">
        <f>IF(AND(LEFT($C$10, 4)="INV-", ISNUMBER(VALUE(MID($C$10, 5, LEN($C$10)-4))), $H$36&lt;&gt;""), $C$10 &amp; "-" &amp; VLOOKUP("Benefit Profile 2", BenefitNumberingVar[#All], 2, FALSE) &amp; "-2", "")</f>
        <v/>
      </c>
    </row>
    <row r="36" spans="1:8" ht="15" customHeight="1" x14ac:dyDescent="0.35">
      <c r="A36" s="42"/>
      <c r="B36" s="54" t="s">
        <v>117</v>
      </c>
      <c r="C36" s="169"/>
      <c r="D36" s="143"/>
      <c r="E36" s="43"/>
      <c r="F36" s="54" t="s">
        <v>117</v>
      </c>
      <c r="G36" s="169"/>
      <c r="H36" s="143"/>
    </row>
    <row r="37" spans="1:8" ht="15" customHeight="1" x14ac:dyDescent="0.35">
      <c r="A37" s="42"/>
      <c r="B37" s="54" t="s">
        <v>72</v>
      </c>
      <c r="C37" s="169"/>
      <c r="D37" s="143"/>
      <c r="E37" s="43"/>
      <c r="F37" s="54" t="s">
        <v>72</v>
      </c>
      <c r="G37" s="169"/>
      <c r="H37" s="143"/>
    </row>
    <row r="38" spans="1:8" ht="15" customHeight="1" x14ac:dyDescent="0.35">
      <c r="A38" s="42"/>
      <c r="B38" s="115" t="s">
        <v>74</v>
      </c>
      <c r="C38" s="169"/>
      <c r="D38" s="143"/>
      <c r="E38" s="43"/>
      <c r="F38" s="54" t="s">
        <v>74</v>
      </c>
      <c r="G38" s="169"/>
      <c r="H38" s="143"/>
    </row>
    <row r="39" spans="1:8" ht="15" customHeight="1" x14ac:dyDescent="0.35">
      <c r="A39" s="42"/>
      <c r="B39" s="54" t="s">
        <v>76</v>
      </c>
      <c r="C39" s="169"/>
      <c r="D39" s="143"/>
      <c r="E39" s="43"/>
      <c r="F39" s="54" t="s">
        <v>76</v>
      </c>
      <c r="G39" s="169"/>
      <c r="H39" s="143"/>
    </row>
    <row r="40" spans="1:8" ht="15" customHeight="1" x14ac:dyDescent="0.35">
      <c r="A40" s="42"/>
      <c r="B40" s="54" t="s">
        <v>78</v>
      </c>
      <c r="C40" s="169"/>
      <c r="D40" s="143"/>
      <c r="E40" s="43"/>
      <c r="F40" s="54" t="s">
        <v>78</v>
      </c>
      <c r="G40" s="169"/>
      <c r="H40" s="143"/>
    </row>
    <row r="41" spans="1:8" ht="15" customHeight="1" x14ac:dyDescent="0.35">
      <c r="A41" s="42"/>
      <c r="B41" s="115" t="s">
        <v>439</v>
      </c>
      <c r="C41" s="169" t="s">
        <v>104</v>
      </c>
      <c r="D41" s="143" t="s">
        <v>104</v>
      </c>
      <c r="E41" s="43"/>
      <c r="F41" s="115" t="s">
        <v>439</v>
      </c>
      <c r="G41" s="169" t="s">
        <v>104</v>
      </c>
      <c r="H41" s="143"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438</v>
      </c>
      <c r="C45" s="116">
        <f>C44-C43</f>
        <v>0</v>
      </c>
      <c r="D45" s="116">
        <f>D44-D43</f>
        <v>0</v>
      </c>
      <c r="E45" s="43"/>
      <c r="F45" s="54" t="s">
        <v>438</v>
      </c>
      <c r="G45" s="116">
        <f>G44-G43</f>
        <v>0</v>
      </c>
      <c r="H45" s="116">
        <f>H44-H43</f>
        <v>0</v>
      </c>
    </row>
    <row r="46" spans="1:8" ht="15" customHeight="1" x14ac:dyDescent="0.35">
      <c r="A46" s="42"/>
      <c r="B46" s="54" t="s">
        <v>119</v>
      </c>
      <c r="C46" s="171"/>
      <c r="D46" s="132"/>
      <c r="E46" s="43"/>
      <c r="F46" s="54" t="s">
        <v>119</v>
      </c>
      <c r="G46" s="171"/>
      <c r="H46" s="132"/>
    </row>
    <row r="47" spans="1:8" ht="15" customHeight="1" x14ac:dyDescent="0.35">
      <c r="A47" s="42"/>
      <c r="B47" s="54" t="s">
        <v>120</v>
      </c>
      <c r="C47" s="171"/>
      <c r="D47" s="132"/>
      <c r="E47" s="43"/>
      <c r="F47" s="54" t="s">
        <v>120</v>
      </c>
      <c r="G47" s="171"/>
      <c r="H47" s="132"/>
    </row>
    <row r="48" spans="1:8" ht="15" customHeight="1" x14ac:dyDescent="0.35">
      <c r="A48" s="42"/>
      <c r="B48" s="54" t="s">
        <v>121</v>
      </c>
      <c r="C48" s="98"/>
      <c r="D48" s="144"/>
      <c r="E48" s="43"/>
      <c r="F48" s="54" t="s">
        <v>121</v>
      </c>
      <c r="G48" s="98"/>
      <c r="H48" s="144"/>
    </row>
    <row r="49" spans="1:8" ht="15" customHeight="1" x14ac:dyDescent="0.35">
      <c r="A49" s="42"/>
      <c r="B49" s="54" t="s">
        <v>92</v>
      </c>
      <c r="C49" s="81" t="s">
        <v>104</v>
      </c>
      <c r="D49" s="145" t="s">
        <v>104</v>
      </c>
      <c r="E49" s="43"/>
      <c r="F49" s="54" t="s">
        <v>92</v>
      </c>
      <c r="G49" s="81" t="s">
        <v>104</v>
      </c>
      <c r="H49" s="145" t="s">
        <v>104</v>
      </c>
    </row>
    <row r="50" spans="1:8" ht="15" customHeight="1" x14ac:dyDescent="0.35">
      <c r="A50" s="42"/>
      <c r="B50" s="54" t="s">
        <v>98</v>
      </c>
      <c r="C50" s="82"/>
      <c r="D50" s="145"/>
      <c r="E50" s="43"/>
      <c r="F50" s="54" t="s">
        <v>98</v>
      </c>
      <c r="G50" s="82"/>
      <c r="H50" s="145"/>
    </row>
    <row r="51" spans="1:8" ht="15" customHeight="1" x14ac:dyDescent="0.35">
      <c r="A51" s="42"/>
      <c r="B51" s="54" t="s">
        <v>94</v>
      </c>
      <c r="C51" s="82"/>
      <c r="D51" s="145"/>
      <c r="E51" s="43"/>
      <c r="F51" s="54" t="s">
        <v>94</v>
      </c>
      <c r="G51" s="82"/>
      <c r="H51" s="145"/>
    </row>
    <row r="52" spans="1:8" ht="15" customHeight="1" x14ac:dyDescent="0.35">
      <c r="A52" s="42"/>
      <c r="B52" s="54" t="s">
        <v>96</v>
      </c>
      <c r="C52" s="82"/>
      <c r="D52" s="146"/>
      <c r="E52" s="43"/>
      <c r="F52" s="54" t="s">
        <v>96</v>
      </c>
      <c r="G52" s="82"/>
      <c r="H52" s="146"/>
    </row>
    <row r="53" spans="1:8" ht="15" customHeight="1" x14ac:dyDescent="0.35">
      <c r="A53" s="42"/>
      <c r="B53" s="77" t="s">
        <v>100</v>
      </c>
      <c r="C53" s="83" t="s">
        <v>104</v>
      </c>
      <c r="D53" s="188" t="s">
        <v>104</v>
      </c>
      <c r="E53" s="43"/>
      <c r="F53" s="77" t="s">
        <v>100</v>
      </c>
      <c r="G53" s="83" t="s">
        <v>104</v>
      </c>
      <c r="H53" s="188" t="s">
        <v>104</v>
      </c>
    </row>
    <row r="54" spans="1:8" ht="15" customHeight="1" x14ac:dyDescent="0.35">
      <c r="A54" s="42"/>
      <c r="B54" s="52"/>
      <c r="C54" s="187"/>
      <c r="D54" s="147"/>
      <c r="E54" s="43"/>
      <c r="F54" s="43"/>
      <c r="G54" s="147"/>
      <c r="H54" s="147"/>
    </row>
    <row r="55" spans="1:8" ht="15" customHeight="1" x14ac:dyDescent="0.35">
      <c r="A55" s="42"/>
      <c r="B55" s="47" t="s">
        <v>122</v>
      </c>
      <c r="C55" s="48"/>
      <c r="D55" s="148" t="s">
        <v>106</v>
      </c>
      <c r="E55" s="43"/>
      <c r="F55" s="47" t="s">
        <v>123</v>
      </c>
      <c r="G55" s="195"/>
      <c r="H55" s="148" t="s">
        <v>106</v>
      </c>
    </row>
    <row r="56" spans="1:8" ht="15" customHeight="1" x14ac:dyDescent="0.35">
      <c r="A56" s="42"/>
      <c r="B56" s="54" t="s">
        <v>69</v>
      </c>
      <c r="C56" s="76" t="str">
        <f>IF(AND(LEFT($C$10, 4)="INV-", ISNUMBER(VALUE(MID($C$10, 5, LEN($C$10)-4))), $C$57&lt;&gt;""), $C$10 &amp; "-" &amp; VLOOKUP("Benefit Profile 2", BenefitNumbering[#All], 2, FALSE) &amp; "-3", "")</f>
        <v/>
      </c>
      <c r="D56" s="76" t="str">
        <f>IF(AND(LEFT($C$10, 4)="INV-", ISNUMBER(VALUE(MID($C$10, 5, LEN($C$10)-4))), $D$57&lt;&gt;""), $C$10 &amp; "-" &amp; VLOOKUP("Benefit Profile 2", BenefitNumberingVar[#All], 2, FALSE) &amp; "-3", "")</f>
        <v/>
      </c>
      <c r="E56" s="43"/>
      <c r="F56" s="54" t="s">
        <v>69</v>
      </c>
      <c r="G56" s="76" t="str">
        <f>IF(AND(LEFT($C$10, 4)="INV-", ISNUMBER(VALUE(MID($C$10, 5, LEN($C$10)-4))), $G$57&lt;&gt;""), $C$10 &amp; "-" &amp; VLOOKUP("Benefit Profile 2", BenefitNumbering[#All], 2, FALSE) &amp; "-4", "")</f>
        <v/>
      </c>
      <c r="H56" s="76" t="str">
        <f>IF(AND(LEFT($C$10, 4)="INV-", ISNUMBER(VALUE(MID($C$10, 5, LEN($C$10)-4))), $H$57&lt;&gt;""), $C$10 &amp; "-" &amp; VLOOKUP("Benefit Profile 2", BenefitNumberingVar[#All], 2, FALSE) &amp; "-4", "")</f>
        <v/>
      </c>
    </row>
    <row r="57" spans="1:8" ht="15" customHeight="1" x14ac:dyDescent="0.35">
      <c r="A57" s="55"/>
      <c r="B57" s="54" t="s">
        <v>117</v>
      </c>
      <c r="C57" s="169"/>
      <c r="D57" s="143"/>
      <c r="E57" s="78"/>
      <c r="F57" s="54" t="s">
        <v>117</v>
      </c>
      <c r="G57" s="169"/>
      <c r="H57" s="143"/>
    </row>
    <row r="58" spans="1:8" ht="15" customHeight="1" x14ac:dyDescent="0.35">
      <c r="A58" s="55"/>
      <c r="B58" s="54" t="s">
        <v>72</v>
      </c>
      <c r="C58" s="169"/>
      <c r="D58" s="143"/>
      <c r="E58" s="43"/>
      <c r="F58" s="54" t="s">
        <v>72</v>
      </c>
      <c r="G58" s="169"/>
      <c r="H58" s="143"/>
    </row>
    <row r="59" spans="1:8" ht="15" customHeight="1" x14ac:dyDescent="0.35">
      <c r="A59" s="55"/>
      <c r="B59" s="54" t="s">
        <v>74</v>
      </c>
      <c r="C59" s="169"/>
      <c r="D59" s="143"/>
      <c r="E59" s="43"/>
      <c r="F59" s="54" t="s">
        <v>74</v>
      </c>
      <c r="G59" s="169"/>
      <c r="H59" s="143"/>
    </row>
    <row r="60" spans="1:8" ht="15" customHeight="1" x14ac:dyDescent="0.35">
      <c r="A60" s="55"/>
      <c r="B60" s="54" t="s">
        <v>76</v>
      </c>
      <c r="C60" s="169"/>
      <c r="D60" s="143"/>
      <c r="E60" s="43"/>
      <c r="F60" s="54" t="s">
        <v>76</v>
      </c>
      <c r="G60" s="169"/>
      <c r="H60" s="143"/>
    </row>
    <row r="61" spans="1:8" ht="15" customHeight="1" x14ac:dyDescent="0.35">
      <c r="A61" s="55"/>
      <c r="B61" s="54" t="s">
        <v>78</v>
      </c>
      <c r="C61" s="169"/>
      <c r="D61" s="143"/>
      <c r="E61" s="43"/>
      <c r="F61" s="54" t="s">
        <v>78</v>
      </c>
      <c r="G61" s="169"/>
      <c r="H61" s="143"/>
    </row>
    <row r="62" spans="1:8" ht="15" customHeight="1" x14ac:dyDescent="0.35">
      <c r="A62" s="55"/>
      <c r="B62" s="115" t="s">
        <v>439</v>
      </c>
      <c r="C62" s="169" t="s">
        <v>104</v>
      </c>
      <c r="D62" s="143" t="s">
        <v>104</v>
      </c>
      <c r="E62" s="43"/>
      <c r="F62" s="115" t="s">
        <v>439</v>
      </c>
      <c r="G62" s="169" t="s">
        <v>104</v>
      </c>
      <c r="H62" s="143" t="s">
        <v>104</v>
      </c>
    </row>
    <row r="63" spans="1:8" ht="15" customHeight="1" x14ac:dyDescent="0.35">
      <c r="A63" s="55"/>
      <c r="B63" s="54" t="s">
        <v>118</v>
      </c>
      <c r="C63" s="171"/>
      <c r="D63" s="132"/>
      <c r="E63" s="43"/>
      <c r="F63" s="54" t="s">
        <v>118</v>
      </c>
      <c r="G63" s="171"/>
      <c r="H63" s="132"/>
    </row>
    <row r="64" spans="1:8" ht="15" customHeight="1" x14ac:dyDescent="0.35">
      <c r="A64" s="55"/>
      <c r="B64" s="54" t="s">
        <v>82</v>
      </c>
      <c r="C64" s="157"/>
      <c r="D64" s="133"/>
      <c r="E64" s="43"/>
      <c r="F64" s="54" t="s">
        <v>82</v>
      </c>
      <c r="G64" s="157"/>
      <c r="H64" s="133"/>
    </row>
    <row r="65" spans="1:8" ht="15" customHeight="1" x14ac:dyDescent="0.35">
      <c r="A65" s="55"/>
      <c r="B65" s="54" t="s">
        <v>84</v>
      </c>
      <c r="C65" s="157"/>
      <c r="D65" s="133"/>
      <c r="E65" s="43"/>
      <c r="F65" s="54" t="s">
        <v>84</v>
      </c>
      <c r="G65" s="157"/>
      <c r="H65" s="133"/>
    </row>
    <row r="66" spans="1:8" ht="15" customHeight="1" x14ac:dyDescent="0.35">
      <c r="A66" s="55"/>
      <c r="B66" s="54" t="s">
        <v>438</v>
      </c>
      <c r="C66" s="116">
        <f>C65-C64</f>
        <v>0</v>
      </c>
      <c r="D66" s="116">
        <f>D65-D64</f>
        <v>0</v>
      </c>
      <c r="E66" s="43"/>
      <c r="F66" s="54" t="s">
        <v>438</v>
      </c>
      <c r="G66" s="116">
        <f>G65-G64</f>
        <v>0</v>
      </c>
      <c r="H66" s="116">
        <f>H65-H64</f>
        <v>0</v>
      </c>
    </row>
    <row r="67" spans="1:8" ht="15" customHeight="1" x14ac:dyDescent="0.35">
      <c r="A67" s="55"/>
      <c r="B67" s="54" t="s">
        <v>119</v>
      </c>
      <c r="C67" s="171"/>
      <c r="D67" s="132"/>
      <c r="E67" s="43"/>
      <c r="F67" s="54" t="s">
        <v>119</v>
      </c>
      <c r="G67" s="171"/>
      <c r="H67" s="132"/>
    </row>
    <row r="68" spans="1:8" ht="15" customHeight="1" x14ac:dyDescent="0.35">
      <c r="A68" s="55"/>
      <c r="B68" s="54" t="s">
        <v>120</v>
      </c>
      <c r="C68" s="171"/>
      <c r="D68" s="132"/>
      <c r="E68" s="43"/>
      <c r="F68" s="54" t="s">
        <v>120</v>
      </c>
      <c r="G68" s="171"/>
      <c r="H68" s="132"/>
    </row>
    <row r="69" spans="1:8" ht="15" customHeight="1" x14ac:dyDescent="0.35">
      <c r="A69" s="55"/>
      <c r="B69" s="54" t="s">
        <v>121</v>
      </c>
      <c r="C69" s="98"/>
      <c r="D69" s="144"/>
      <c r="E69" s="43"/>
      <c r="F69" s="54" t="s">
        <v>121</v>
      </c>
      <c r="G69" s="98"/>
      <c r="H69" s="144"/>
    </row>
    <row r="70" spans="1:8" ht="15" customHeight="1" x14ac:dyDescent="0.35">
      <c r="A70" s="55"/>
      <c r="B70" s="54" t="s">
        <v>92</v>
      </c>
      <c r="C70" s="81" t="s">
        <v>104</v>
      </c>
      <c r="D70" s="145" t="s">
        <v>104</v>
      </c>
      <c r="E70" s="43"/>
      <c r="F70" s="54" t="s">
        <v>92</v>
      </c>
      <c r="G70" s="81" t="s">
        <v>104</v>
      </c>
      <c r="H70" s="145" t="s">
        <v>104</v>
      </c>
    </row>
    <row r="71" spans="1:8" ht="15" customHeight="1" x14ac:dyDescent="0.35">
      <c r="A71" s="55"/>
      <c r="B71" s="54" t="s">
        <v>98</v>
      </c>
      <c r="C71" s="82"/>
      <c r="D71" s="145"/>
      <c r="E71" s="43"/>
      <c r="F71" s="54" t="s">
        <v>98</v>
      </c>
      <c r="G71" s="82"/>
      <c r="H71" s="145"/>
    </row>
    <row r="72" spans="1:8" ht="15" customHeight="1" x14ac:dyDescent="0.35">
      <c r="A72" s="55"/>
      <c r="B72" s="54" t="s">
        <v>94</v>
      </c>
      <c r="C72" s="82"/>
      <c r="D72" s="145"/>
      <c r="E72" s="43"/>
      <c r="F72" s="54" t="s">
        <v>94</v>
      </c>
      <c r="G72" s="82"/>
      <c r="H72" s="145"/>
    </row>
    <row r="73" spans="1:8" ht="15" customHeight="1" x14ac:dyDescent="0.35">
      <c r="A73" s="55"/>
      <c r="B73" s="54" t="s">
        <v>96</v>
      </c>
      <c r="C73" s="82"/>
      <c r="D73" s="146"/>
      <c r="E73" s="43"/>
      <c r="F73" s="54" t="s">
        <v>96</v>
      </c>
      <c r="G73" s="82"/>
      <c r="H73" s="146"/>
    </row>
    <row r="74" spans="1:8" ht="15" customHeight="1" x14ac:dyDescent="0.35">
      <c r="A74" s="55"/>
      <c r="B74" s="77" t="s">
        <v>100</v>
      </c>
      <c r="C74" s="83" t="s">
        <v>104</v>
      </c>
      <c r="D74" s="188" t="s">
        <v>104</v>
      </c>
      <c r="E74" s="43"/>
      <c r="F74" s="77" t="s">
        <v>100</v>
      </c>
      <c r="G74" s="83" t="s">
        <v>104</v>
      </c>
      <c r="H74" s="188" t="s">
        <v>104</v>
      </c>
    </row>
    <row r="75" spans="1:8" ht="15" customHeight="1" x14ac:dyDescent="0.35"/>
    <row r="76" spans="1:8" ht="15" customHeight="1" x14ac:dyDescent="0.35"/>
    <row r="77" spans="1:8" ht="15" customHeight="1" x14ac:dyDescent="0.35"/>
    <row r="78" spans="1:8" ht="15" customHeight="1" x14ac:dyDescent="0.35">
      <c r="B78" s="239" t="s">
        <v>124</v>
      </c>
      <c r="C78" s="240"/>
    </row>
    <row r="79" spans="1:8" ht="15" customHeight="1" x14ac:dyDescent="0.35">
      <c r="B79" s="21" t="s">
        <v>125</v>
      </c>
      <c r="C79" s="20"/>
    </row>
    <row r="80" spans="1:8" ht="15" customHeight="1" x14ac:dyDescent="0.35">
      <c r="B80" s="21" t="s">
        <v>126</v>
      </c>
      <c r="C80" s="20"/>
    </row>
    <row r="81" spans="2:3" ht="15" customHeight="1" x14ac:dyDescent="0.35">
      <c r="B81" s="21" t="s">
        <v>127</v>
      </c>
      <c r="C81" s="22"/>
    </row>
    <row r="82" spans="2:3" ht="15" customHeight="1" x14ac:dyDescent="0.35">
      <c r="B82" s="21" t="s">
        <v>128</v>
      </c>
      <c r="C82" s="22"/>
    </row>
    <row r="83" spans="2:3" ht="15" customHeight="1" x14ac:dyDescent="0.35">
      <c r="B83" s="23" t="s">
        <v>129</v>
      </c>
      <c r="C83" s="24"/>
    </row>
    <row r="132" spans="2:7" hidden="1" x14ac:dyDescent="0.35"/>
    <row r="133" spans="2:7" hidden="1" x14ac:dyDescent="0.35">
      <c r="B133" s="29" t="s">
        <v>130</v>
      </c>
      <c r="C133" s="190">
        <f>_xlfn.IFNA(VLOOKUP($C$53,MeasureConfidence[[#All],[Measure Confidence Level]:[Confidence Score]],2,FALSE),0)</f>
        <v>0</v>
      </c>
      <c r="F133" s="58" t="s">
        <v>131</v>
      </c>
      <c r="G133" s="196">
        <f>_xlfn.IFNA(VLOOKUP($D$53,MeasureConfidence[[#All],[Measure Confidence Level]:[Confidence Score]],2,FALSE),0)</f>
        <v>0</v>
      </c>
    </row>
    <row r="134" spans="2:7" hidden="1" x14ac:dyDescent="0.35">
      <c r="B134" s="29" t="s">
        <v>132</v>
      </c>
      <c r="C134" s="190">
        <f>_xlfn.IFNA(VLOOKUP($G$53,MeasureConfidence[[#All],[Measure Confidence Level]:[Confidence Score]],2,FALSE),0)</f>
        <v>0</v>
      </c>
      <c r="F134" s="58" t="s">
        <v>133</v>
      </c>
      <c r="G134" s="196">
        <f>_xlfn.IFNA(VLOOKUP($H$53,MeasureConfidence[[#All],[Measure Confidence Level]:[Confidence Score]],2,FALSE),0)</f>
        <v>0</v>
      </c>
    </row>
    <row r="135" spans="2:7" hidden="1" x14ac:dyDescent="0.35">
      <c r="B135" s="29" t="s">
        <v>134</v>
      </c>
      <c r="C135" s="190">
        <f>_xlfn.IFNA(VLOOKUP($C$74,MeasureConfidence[[#All],[Measure Confidence Level]:[Confidence Score]],2,FALSE),0)</f>
        <v>0</v>
      </c>
      <c r="F135" s="58" t="s">
        <v>135</v>
      </c>
      <c r="G135" s="196">
        <f>_xlfn.IFNA(VLOOKUP($D$74,MeasureConfidence[[#All],[Measure Confidence Level]:[Confidence Score]],2,FALSE),0)</f>
        <v>0</v>
      </c>
    </row>
    <row r="136" spans="2:7" hidden="1" x14ac:dyDescent="0.35">
      <c r="B136" s="29" t="s">
        <v>136</v>
      </c>
      <c r="C136" s="190">
        <f>_xlfn.IFNA(VLOOKUP($G$74,MeasureConfidence[[#All],[Measure Confidence Level]:[Confidence Score]],2,FALSE),0)</f>
        <v>0</v>
      </c>
      <c r="F136" s="58" t="s">
        <v>137</v>
      </c>
      <c r="G136" s="196">
        <f>_xlfn.IFNA(VLOOKUP($H$74,MeasureConfidence[[#All],[Measure Confidence Level]:[Confidence Score]],2,FALSE),0)</f>
        <v>0</v>
      </c>
    </row>
    <row r="137" spans="2:7" hidden="1" x14ac:dyDescent="0.35">
      <c r="B137" s="29"/>
      <c r="C137" s="190"/>
      <c r="F137" s="58"/>
      <c r="G137" s="196"/>
    </row>
    <row r="138" spans="2:7" hidden="1" x14ac:dyDescent="0.35">
      <c r="B138" s="29" t="s">
        <v>138</v>
      </c>
      <c r="C138" s="190" t="e">
        <f>ROUND(AVERAGEIF(C133:C136,"&gt;0"),0)</f>
        <v>#DIV/0!</v>
      </c>
      <c r="F138" s="58" t="s">
        <v>138</v>
      </c>
      <c r="G138" s="196" t="e">
        <f>ROUND(AVERAGEIF(G133:G136,"&gt;0"),0)</f>
        <v>#DIV/0!</v>
      </c>
    </row>
    <row r="139" spans="2:7" hidden="1" x14ac:dyDescent="0.35">
      <c r="B139" s="29"/>
      <c r="C139" s="190"/>
      <c r="F139" s="58"/>
      <c r="G139" s="196"/>
    </row>
    <row r="140" spans="2:7" hidden="1" x14ac:dyDescent="0.35">
      <c r="B140" s="29" t="s">
        <v>139</v>
      </c>
      <c r="C140" s="190">
        <f>_xlfn.MINIFS(C133:C136,C133:C136,"&gt;0")</f>
        <v>0</v>
      </c>
      <c r="F140" s="58" t="s">
        <v>139</v>
      </c>
      <c r="G140" s="196">
        <f>_xlfn.MINIFS(G133:G136,G133:G136,"&gt;0")</f>
        <v>0</v>
      </c>
    </row>
    <row r="141" spans="2:7" hidden="1" x14ac:dyDescent="0.35"/>
    <row r="142" spans="2:7" hidden="1" x14ac:dyDescent="0.35"/>
    <row r="143" spans="2:7" hidden="1" x14ac:dyDescent="0.35"/>
    <row r="144" spans="2:7" hidden="1" x14ac:dyDescent="0.35"/>
    <row r="145" hidden="1" x14ac:dyDescent="0.35"/>
    <row r="146" hidden="1" x14ac:dyDescent="0.35"/>
  </sheetData>
  <sheetProtection algorithmName="SHA-512" hashValue="OarX7NDmHWwcAEkhDF666Fr+J2C9fGA2SgyE58CYz7Zl/2CV2lF6IZMdnmeXLuGQmi9lq8vqDs0UBwT5gYmLrQ==" saltValue="3veHurfrb3Jz8Kldueu7ew==" spinCount="100000" sheet="1" formatColumns="0" formatRows="0"/>
  <dataConsolidate link="1"/>
  <mergeCells count="7">
    <mergeCell ref="H24:H25"/>
    <mergeCell ref="B78:C78"/>
    <mergeCell ref="B21:B25"/>
    <mergeCell ref="C21:C25"/>
    <mergeCell ref="F24:F25"/>
    <mergeCell ref="G24:G25"/>
    <mergeCell ref="D21:D25"/>
  </mergeCells>
  <dataValidations xWindow="632" yWindow="529" count="25">
    <dataValidation allowBlank="1" showInputMessage="1" showErrorMessage="1" prompt="Automatically populated when the Measure Name's cell is entered/filled" sqref="C35 G35 G56 C56" xr:uid="{0BBC67DA-FD14-459E-A6E0-A181D3156F26}"/>
    <dataValidation type="decimal" operator="greaterThan" allowBlank="1" showInputMessage="1" showErrorMessage="1" error="Numerical value only please" prompt="Numerical value only please" sqref="G43:G44 C43:C44 C64:C65 G64:G65" xr:uid="{1D1A50CB-EB02-4A4B-B206-02DAF152E59A}">
      <formula1>0.0000000000001</formula1>
    </dataValidation>
    <dataValidation type="date" errorStyle="warning" operator="greaterThan" allowBlank="1" showInputMessage="1" showErrorMessage="1" sqref="G21" xr:uid="{5BBEBDC8-BB22-4DDC-AF8E-2506993DC882}">
      <formula1>36526</formula1>
    </dataValidation>
    <dataValidation allowBlank="1" showInputMessage="1" showErrorMessage="1" prompt="Automatically populated based on the latest Realisation End Date of the Measure/KPI date." sqref="G29" xr:uid="{49186818-BC63-414E-8F90-97092026B6B9}"/>
    <dataValidation allowBlank="1" showInputMessage="1" showErrorMessage="1" prompt="Automatically populated based on the earliest Realisation Start Date of the Measure/KPI date." sqref="G28" xr:uid="{9A6CA762-0D2B-4E09-831F-E1167CC4E997}"/>
    <dataValidation allowBlank="1" showInputMessage="1" showErrorMessage="1" prompt="Automatically calculated based on the lowest Benefit Confidence Level of the Measures/KPIs." sqref="G30" xr:uid="{4880A270-D01B-4BC2-975D-9ED47195BBC5}"/>
    <dataValidation type="decimal" allowBlank="1" showInputMessage="1" showErrorMessage="1" sqref="C48 G48 C69 G69" xr:uid="{18ED3102-35FF-4001-99DC-5EC4B0BE9F41}">
      <formula1>0</formula1>
      <formula2>1</formula2>
    </dataValidation>
    <dataValidation type="decimal" errorStyle="warning" allowBlank="1" showInputMessage="1" showErrorMessage="1" sqref="H48 D69 D48 H69" xr:uid="{387EDEBD-8ABE-4747-8396-00F2703D38AA}">
      <formula1>0</formula1>
      <formula2>1</formula2>
    </dataValidation>
    <dataValidation type="date" operator="greaterThan" allowBlank="1" showInputMessage="1" showErrorMessage="1" errorTitle="Date error" sqref="C79:C80" xr:uid="{A54715A2-1FBC-4E52-8C99-EC542569B6B8}">
      <formula1>1</formula1>
    </dataValidation>
    <dataValidation type="date" operator="greaterThan" allowBlank="1" showInputMessage="1" showErrorMessage="1" sqref="G23" xr:uid="{3D18A219-D681-42F7-9281-243BC3F413EA}">
      <formula1>36526</formula1>
    </dataValidation>
    <dataValidation errorStyle="information" allowBlank="1" showInputMessage="1" showErrorMessage="1" sqref="G22" xr:uid="{E28F2921-9583-486F-915B-6BEBD066C6BD}"/>
    <dataValidation allowBlank="1" showInputMessage="1" showErrorMessage="1" prompt="DTA numbering system. Automatically populated when the DTA Investment ID is filled." sqref="C18" xr:uid="{538BAEC8-DC5A-423F-8AB8-111DD2707266}"/>
    <dataValidation allowBlank="1" showInputMessage="1" showErrorMessage="1" prompt="Benefit Endorsement fields will be automatically filled from Benefit Profile 1, except for date fields. _x000a_Please change if different." sqref="G18" xr:uid="{23EC8865-C516-4783-9CE1-61D9E1C482CB}"/>
    <dataValidation type="list" allowBlank="1" showInputMessage="1" showErrorMessage="1" sqref="C29" xr:uid="{2A713C8A-BD5E-4AEF-9861-DE537B6ADCE5}">
      <formula1>"Please select, Benefit, Disbenefit"</formula1>
    </dataValidation>
    <dataValidation type="list" allowBlank="1" showInputMessage="1" showErrorMessage="1" sqref="C28" xr:uid="{5FD133C6-3B1E-461F-8E42-0B0BD0E054A8}">
      <formula1>"Please select, Financial - Cashable, Financial - Non-Cashable, Non-financial"</formula1>
    </dataValidation>
    <dataValidation type="list" allowBlank="1" showInputMessage="1" showErrorMessage="1" sqref="C32" xr:uid="{562BE3B7-06F3-401C-9F8F-B7B8F1A110BD}">
      <formula1>"Please select, Data and digital foundations, Delivering for all people and business, Government for the future, Simple and seamless services, Trusted and secure"</formula1>
    </dataValidation>
    <dataValidation type="list" allowBlank="1" showInputMessage="1" showErrorMessage="1" sqref="C31" xr:uid="{69F8967F-7E74-4D30-8645-70F83DD72A0F}">
      <formula1>"Please select, Agency, Business, Citizen, Government"</formula1>
    </dataValidation>
    <dataValidation type="list" allowBlank="1" showInputMessage="1" showErrorMessage="1" sqref="C49 G49 C70 G70" xr:uid="{BA5FE29A-4BA5-4B1D-A343-919D6A70A715}">
      <formula1>"Please select, Weekly, Fortnightly, In planning, Monthly, Quarterly, Biannually, Year (calendar), Year (financial)"</formula1>
    </dataValidation>
    <dataValidation type="decimal" errorStyle="information" operator="lessThan" allowBlank="1" showInputMessage="1" showErrorMessage="1" error="Numerical value only please" prompt="Numerical value only please" sqref="C45:D45 C66:D66 G66:H66" xr:uid="{AA5F6937-1822-4275-9EC7-554E7EEA4586}">
      <formula1>0</formula1>
    </dataValidation>
    <dataValidation type="list" operator="greaterThanOrEqual" allowBlank="1" showInputMessage="1" showErrorMessage="1" sqref="C41:D41" xr:uid="{7A79AB8E-A470-4BEC-97C4-DC97B0309612}">
      <formula1>"Please select, Increase, Decrease"</formula1>
    </dataValidation>
    <dataValidation type="list" allowBlank="1" showInputMessage="1" showErrorMessage="1" sqref="G41:H41 C62:D62 G62:H62" xr:uid="{7312086C-5FD7-4F4B-B590-0DAFE7AF3F8B}">
      <formula1>"Please select, Increase, Decrease"</formula1>
    </dataValidation>
    <dataValidation type="decimal" errorStyle="information" operator="greaterThan" allowBlank="1" showInputMessage="1" showErrorMessage="1" error="Numerical value only please" prompt="Numerical value only please" sqref="G45:H45" xr:uid="{152F7131-985A-48D7-B1A4-43997648CBC6}">
      <formula1>0</formula1>
    </dataValidation>
    <dataValidation allowBlank="1" showInputMessage="1" showErrorMessage="1" prompt="Investment Details - automatically filled from Benefit Profile 1." sqref="C10" xr:uid="{46E42D88-37B6-420E-82CA-5C8C6E391B5C}"/>
    <dataValidation type="decimal" operator="greaterThan" allowBlank="1" showInputMessage="1" showErrorMessage="1" sqref="H43:H44 D43:D44 D64:D65 H64:H65" xr:uid="{E00D39AB-7F93-4D20-849C-DBB4C1A929FA}">
      <formula1>0.0000000000001</formula1>
    </dataValidation>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2:D42 C46:D47 G42:H42 C63:D63 C67:D68 G46:H47 G67:H68 G63:H63" xr:uid="{7B72AD62-068B-49F7-ACEA-3D31C91701A6}">
      <formula1>1</formula1>
    </dataValidation>
  </dataValidations>
  <printOptions horizontalCentered="1"/>
  <pageMargins left="0" right="0" top="0.74803149606299213" bottom="0.35433070866141736" header="0.31496062992125984" footer="0.31496062992125984"/>
  <pageSetup paperSize="9" scale="71" orientation="portrait" r:id="rId1"/>
  <ignoredErrors>
    <ignoredError sqref="D45 H45 H28:H30 G22:H22 G18:H20 C12:C14" unlockedFormula="1"/>
  </ignoredErrors>
  <drawing r:id="rId2"/>
  <extLst>
    <ext xmlns:x14="http://schemas.microsoft.com/office/spreadsheetml/2009/9/main" uri="{CCE6A557-97BC-4b89-ADB6-D9C93CAAB3DF}">
      <x14:dataValidations xmlns:xm="http://schemas.microsoft.com/office/excel/2006/main" xWindow="632" yWindow="529" count="9">
        <x14:dataValidation type="list" allowBlank="1" showInputMessage="1" showErrorMessage="1" xr:uid="{CCEEAF6C-6E8E-4621-BA69-DAA98F8E9D56}">
          <x14:formula1>
            <xm:f>'Validation Table'!$D$3:$D$7</xm:f>
          </x14:formula1>
          <xm:sqref>D29</xm:sqref>
        </x14:dataValidation>
        <x14:dataValidation type="list" allowBlank="1" showInputMessage="1" showErrorMessage="1" xr:uid="{EFCF3A69-FFD2-4E2F-A37A-EBC9C446196C}">
          <x14:formula1>
            <xm:f>'Validation Table'!$H$3:$H$11</xm:f>
          </x14:formula1>
          <xm:sqref>D70 H49 D49 H70</xm:sqref>
        </x14:dataValidation>
        <x14:dataValidation type="list" allowBlank="1" showInputMessage="1" showErrorMessage="1" xr:uid="{2D5CBC35-6A44-4BF8-9D4C-EAC4F8C98D55}">
          <x14:formula1>
            <xm:f>'Validation Table'!$F$3:$F$8</xm:f>
          </x14:formula1>
          <xm:sqref>D32</xm:sqref>
        </x14:dataValidation>
        <x14:dataValidation type="list" allowBlank="1" showInputMessage="1" showErrorMessage="1" xr:uid="{1382CB6F-3963-41C5-ADC7-C11566F61E62}">
          <x14:formula1>
            <xm:f>'Validation Table'!$E$3:$E$7</xm:f>
          </x14:formula1>
          <xm:sqref>D31</xm:sqref>
        </x14:dataValidation>
        <x14:dataValidation type="list" allowBlank="1" showInputMessage="1" showErrorMessage="1" xr:uid="{7DC83751-EE87-491D-ABD1-7BC773C53B43}">
          <x14:formula1>
            <xm:f>'Validation Table'!$C$3:$C$17</xm:f>
          </x14:formula1>
          <xm:sqref>C30:D30</xm:sqref>
        </x14:dataValidation>
        <x14:dataValidation type="list" allowBlank="1" showInputMessage="1" showErrorMessage="1" xr:uid="{96BD120B-1CB6-44DC-8232-8B369ADC7B49}">
          <x14:formula1>
            <xm:f>'Validation Table'!$B$3:$B$6</xm:f>
          </x14:formula1>
          <xm:sqref>D28</xm:sqref>
        </x14:dataValidation>
        <x14:dataValidation type="list" allowBlank="1" showInputMessage="1" showErrorMessage="1" xr:uid="{C81BE63D-3779-4B90-944F-AA008B7C4B2A}">
          <x14:formula1>
            <xm:f>'0. PortfolioAgencyLinks'!$T$1:$T$193</xm:f>
          </x14:formula1>
          <xm:sqref>C14</xm:sqref>
        </x14:dataValidation>
        <x14:dataValidation type="list" allowBlank="1" showInputMessage="1" showErrorMessage="1" xr:uid="{DD1BDFE3-DEBE-468D-8B51-5E9D7963339F}">
          <x14:formula1>
            <xm:f>'Validation Table'!$I$3:$I$8</xm:f>
          </x14:formula1>
          <xm:sqref>C74:D74 G53:H53 G74:H74 D53 C53</xm:sqref>
        </x14:dataValidation>
        <x14:dataValidation type="list" allowBlank="1" showInputMessage="1" showErrorMessage="1" prompt="Agency fields will be automatically filled from Benefit Profile 1. Please change if different." xr:uid="{CBBDE123-95AE-486D-BCA9-18F43E565251}">
          <x14:formula1>
            <xm:f>'0. PortfolioAgencyLinks'!$T$1:$T$193</xm:f>
          </x14:formula1>
          <xm:sqref>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E6DF2-9A9E-4A6C-AA6B-B24D971D959E}">
  <sheetPr>
    <tabColor rgb="FFC8EBD7"/>
    <pageSetUpPr fitToPage="1"/>
  </sheetPr>
  <dimension ref="A1:O149"/>
  <sheetViews>
    <sheetView zoomScale="90" zoomScaleNormal="90" workbookViewId="0">
      <selection activeCell="C10" sqref="C10"/>
    </sheetView>
  </sheetViews>
  <sheetFormatPr defaultColWidth="9.1796875" defaultRowHeight="14.5" outlineLevelCol="1" x14ac:dyDescent="0.35"/>
  <cols>
    <col min="1" max="1" width="2" style="3" customWidth="1"/>
    <col min="2" max="2" width="45.7265625" style="3" customWidth="1"/>
    <col min="3" max="3" width="45.7265625" style="71" customWidth="1"/>
    <col min="4" max="4" width="45.7265625" style="55" hidden="1" customWidth="1" outlineLevel="1"/>
    <col min="5" max="5" width="5.7265625" style="3" customWidth="1" collapsed="1"/>
    <col min="6" max="6" width="45.7265625" style="55" customWidth="1"/>
    <col min="7" max="7" width="45.7265625" style="3" customWidth="1"/>
    <col min="8" max="8" width="45.7265625" style="55"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66"/>
      <c r="D1" s="42"/>
      <c r="E1" s="42"/>
      <c r="F1" s="42"/>
      <c r="G1" s="42"/>
      <c r="H1" s="42"/>
    </row>
    <row r="2" spans="1:15" x14ac:dyDescent="0.35">
      <c r="A2" s="42"/>
      <c r="B2" s="42"/>
      <c r="C2" s="66"/>
      <c r="D2" s="42"/>
      <c r="E2" s="42"/>
      <c r="F2" s="42"/>
      <c r="G2" s="42"/>
      <c r="H2" s="42"/>
    </row>
    <row r="3" spans="1:15" x14ac:dyDescent="0.35">
      <c r="A3" s="42"/>
      <c r="B3" s="42"/>
      <c r="C3" s="66"/>
      <c r="D3" s="42"/>
      <c r="E3" s="42"/>
      <c r="F3" s="42"/>
      <c r="G3" s="42"/>
      <c r="H3" s="42"/>
    </row>
    <row r="4" spans="1:15" ht="42" customHeight="1" x14ac:dyDescent="0.35">
      <c r="A4" s="42"/>
      <c r="B4" s="42"/>
      <c r="C4" s="66"/>
      <c r="D4" s="42"/>
      <c r="E4" s="42"/>
      <c r="F4" s="42"/>
      <c r="G4" s="42"/>
      <c r="H4" s="42"/>
    </row>
    <row r="5" spans="1:15" ht="46" x14ac:dyDescent="0.35">
      <c r="A5" s="42"/>
      <c r="B5" s="204" t="s">
        <v>196</v>
      </c>
      <c r="C5" s="67"/>
      <c r="D5" s="56"/>
      <c r="E5" s="56"/>
      <c r="F5" s="56"/>
      <c r="G5" s="42"/>
      <c r="H5" s="42"/>
    </row>
    <row r="6" spans="1:15" x14ac:dyDescent="0.35">
      <c r="A6" s="42"/>
      <c r="B6" s="42"/>
      <c r="C6" s="66"/>
      <c r="D6" s="42"/>
      <c r="E6" s="42"/>
      <c r="F6" s="42"/>
      <c r="G6" s="42"/>
      <c r="H6" s="42"/>
    </row>
    <row r="7" spans="1:15" ht="15" customHeight="1" x14ac:dyDescent="0.35">
      <c r="A7" s="42"/>
      <c r="B7" s="56"/>
      <c r="C7" s="56"/>
      <c r="D7" s="125"/>
      <c r="E7" s="43"/>
      <c r="F7" s="43"/>
      <c r="G7" s="43"/>
      <c r="H7" s="43"/>
    </row>
    <row r="8" spans="1:15" ht="15" customHeight="1" x14ac:dyDescent="0.35">
      <c r="A8" s="42"/>
      <c r="B8" s="42"/>
      <c r="C8" s="43"/>
      <c r="D8" s="43"/>
      <c r="E8" s="43"/>
      <c r="F8" s="43"/>
      <c r="G8" s="43"/>
      <c r="H8" s="43"/>
    </row>
    <row r="9" spans="1:15" s="4" customFormat="1" ht="15" customHeight="1" x14ac:dyDescent="0.35">
      <c r="A9" s="44"/>
      <c r="B9" s="45" t="s">
        <v>103</v>
      </c>
      <c r="C9" s="46"/>
      <c r="D9" s="43"/>
      <c r="E9" s="43"/>
      <c r="F9" s="43"/>
      <c r="G9" s="43"/>
      <c r="H9" s="43"/>
      <c r="J9" s="3"/>
      <c r="K9" s="3"/>
      <c r="L9" s="3"/>
      <c r="M9" s="3"/>
      <c r="N9" s="3"/>
      <c r="O9" s="3"/>
    </row>
    <row r="10" spans="1:15" ht="15" customHeight="1" x14ac:dyDescent="0.35">
      <c r="A10" s="42"/>
      <c r="B10" s="88" t="s">
        <v>29</v>
      </c>
      <c r="C10" s="92">
        <f>'Benefit Profile 1'!$C$10</f>
        <v>0</v>
      </c>
      <c r="D10" s="43"/>
      <c r="E10" s="43"/>
      <c r="F10" s="43"/>
      <c r="G10" s="43"/>
      <c r="H10" s="43"/>
    </row>
    <row r="11" spans="1:15" ht="15" customHeight="1" x14ac:dyDescent="0.35">
      <c r="A11" s="42"/>
      <c r="B11" s="90" t="s">
        <v>30</v>
      </c>
      <c r="C11" s="92">
        <f>'Benefit Profile 1'!$C$11</f>
        <v>0</v>
      </c>
      <c r="D11" s="43"/>
      <c r="E11" s="43"/>
      <c r="F11" s="43"/>
      <c r="G11" s="43"/>
      <c r="H11" s="43"/>
    </row>
    <row r="12" spans="1:15" ht="15" customHeight="1" x14ac:dyDescent="0.35">
      <c r="A12" s="42"/>
      <c r="B12" s="90" t="s">
        <v>31</v>
      </c>
      <c r="C12" s="156" t="str">
        <f>'Benefit Profile 1'!$C$12</f>
        <v>Please select</v>
      </c>
      <c r="D12" s="43"/>
      <c r="E12" s="43"/>
      <c r="F12" s="43"/>
      <c r="G12" s="43"/>
      <c r="H12" s="43"/>
    </row>
    <row r="13" spans="1:15" ht="15" customHeight="1" x14ac:dyDescent="0.35">
      <c r="A13" s="42"/>
      <c r="B13" s="90" t="s">
        <v>33</v>
      </c>
      <c r="C13" s="156" t="str">
        <f>'Benefit Profile 1'!$C$13</f>
        <v>Please select</v>
      </c>
      <c r="D13" s="43"/>
      <c r="E13" s="43"/>
      <c r="F13" s="43"/>
      <c r="G13" s="43"/>
      <c r="H13" s="43"/>
    </row>
    <row r="14" spans="1:15" ht="30" customHeight="1" x14ac:dyDescent="0.35">
      <c r="A14" s="42"/>
      <c r="B14" s="91" t="s">
        <v>105</v>
      </c>
      <c r="C14" s="156" t="str">
        <f>'Benefit Profile 1'!$C$14</f>
        <v>Please select</v>
      </c>
      <c r="D14" s="43"/>
      <c r="E14" s="43"/>
      <c r="F14" s="43"/>
      <c r="G14" s="43"/>
      <c r="H14" s="43"/>
    </row>
    <row r="15" spans="1:15" ht="15" customHeight="1" x14ac:dyDescent="0.35">
      <c r="A15" s="42"/>
      <c r="B15" s="43"/>
      <c r="C15" s="43"/>
      <c r="D15" s="43"/>
      <c r="E15" s="43"/>
      <c r="F15" s="43"/>
      <c r="G15" s="43"/>
      <c r="H15" s="43"/>
    </row>
    <row r="16" spans="1:15" ht="15" customHeight="1" x14ac:dyDescent="0.35">
      <c r="A16" s="42"/>
      <c r="B16" s="43"/>
      <c r="C16" s="43"/>
      <c r="D16" s="43"/>
      <c r="E16" s="43"/>
      <c r="F16" s="43"/>
      <c r="G16" s="43"/>
      <c r="H16" s="43"/>
    </row>
    <row r="17" spans="1:15" s="4" customFormat="1" ht="15" customHeight="1" x14ac:dyDescent="0.35">
      <c r="A17" s="44"/>
      <c r="B17" s="47" t="s">
        <v>42</v>
      </c>
      <c r="C17" s="68"/>
      <c r="D17" s="126" t="s">
        <v>106</v>
      </c>
      <c r="E17" s="49"/>
      <c r="F17" s="47" t="s">
        <v>107</v>
      </c>
      <c r="G17" s="48"/>
      <c r="H17" s="128" t="s">
        <v>106</v>
      </c>
      <c r="J17" s="3"/>
      <c r="K17" s="3"/>
      <c r="L17" s="3"/>
      <c r="M17" s="3"/>
      <c r="N17" s="3"/>
      <c r="O17" s="3"/>
    </row>
    <row r="18" spans="1:15" s="30" customFormat="1" ht="15" customHeight="1" x14ac:dyDescent="0.35">
      <c r="A18" s="50"/>
      <c r="B18" s="54" t="s">
        <v>38</v>
      </c>
      <c r="C18" s="96" t="str">
        <f>IF(AND(LEFT(C10, 4)="INV-", ISNUMBER(VALUE(MID(C10, 5, LEN(C10)-4)))), C10 &amp; "-" &amp; VLOOKUP("Benefit Profile 3", BenefitNumbering[#All], 2, FALSE), "")</f>
        <v/>
      </c>
      <c r="D18" s="96" t="str">
        <f>IF(AND(LEFT(C10, 4)="INV-", ISNUMBER(VALUE(MID(C10, 5, LEN(C10)-4)))), C10 &amp; "-" &amp; VLOOKUP("Benefit Profile 3", BenefitNumberingVar[#All], 2, FALSE), "")</f>
        <v/>
      </c>
      <c r="E18" s="51"/>
      <c r="F18" s="54" t="s">
        <v>108</v>
      </c>
      <c r="G18" s="118">
        <f>'Benefit Profile 1'!$G$18</f>
        <v>0</v>
      </c>
      <c r="H18" s="197">
        <f>'Benefit Profile 1'!$H$18</f>
        <v>0</v>
      </c>
      <c r="J18" s="3"/>
      <c r="K18" s="3"/>
      <c r="L18" s="3"/>
      <c r="M18" s="3"/>
      <c r="N18" s="3"/>
      <c r="O18" s="3"/>
    </row>
    <row r="19" spans="1:15" ht="15" customHeight="1" x14ac:dyDescent="0.35">
      <c r="A19" s="42"/>
      <c r="B19" s="85" t="s">
        <v>109</v>
      </c>
      <c r="C19" s="41"/>
      <c r="D19" s="127"/>
      <c r="E19" s="43"/>
      <c r="F19" s="86" t="s">
        <v>110</v>
      </c>
      <c r="G19" s="118">
        <f>'Benefit Profile 1'!$G$19</f>
        <v>0</v>
      </c>
      <c r="H19" s="197">
        <f>'Benefit Profile 1'!$H$19</f>
        <v>0</v>
      </c>
    </row>
    <row r="20" spans="1:15" ht="15" customHeight="1" x14ac:dyDescent="0.35">
      <c r="A20" s="42"/>
      <c r="B20" s="85" t="s">
        <v>41</v>
      </c>
      <c r="C20" s="41"/>
      <c r="D20" s="127"/>
      <c r="E20" s="43"/>
      <c r="F20" s="86" t="s">
        <v>46</v>
      </c>
      <c r="G20" s="118">
        <f>'Benefit Profile 1'!$G$20</f>
        <v>0</v>
      </c>
      <c r="H20" s="197">
        <f>'Benefit Profile 1'!$H$20</f>
        <v>0</v>
      </c>
    </row>
    <row r="21" spans="1:15" ht="15" customHeight="1" x14ac:dyDescent="0.35">
      <c r="A21" s="42"/>
      <c r="B21" s="242" t="s">
        <v>42</v>
      </c>
      <c r="C21" s="241"/>
      <c r="D21" s="233"/>
      <c r="E21" s="43"/>
      <c r="F21" s="86" t="s">
        <v>111</v>
      </c>
      <c r="G21" s="99"/>
      <c r="H21" s="170"/>
    </row>
    <row r="22" spans="1:15" ht="15" customHeight="1" x14ac:dyDescent="0.35">
      <c r="A22" s="42"/>
      <c r="B22" s="243"/>
      <c r="C22" s="241"/>
      <c r="D22" s="235"/>
      <c r="E22" s="43"/>
      <c r="F22" s="86" t="s">
        <v>112</v>
      </c>
      <c r="G22" s="97">
        <f>'Benefit Profile 1'!$G$22</f>
        <v>0</v>
      </c>
      <c r="H22" s="97">
        <f>'Benefit Profile 1'!$H$22</f>
        <v>0</v>
      </c>
    </row>
    <row r="23" spans="1:15" ht="15" customHeight="1" x14ac:dyDescent="0.35">
      <c r="A23" s="42"/>
      <c r="B23" s="243"/>
      <c r="C23" s="241"/>
      <c r="D23" s="235"/>
      <c r="E23" s="43"/>
      <c r="F23" s="86" t="s">
        <v>113</v>
      </c>
      <c r="G23" s="99"/>
      <c r="H23" s="170"/>
    </row>
    <row r="24" spans="1:15" ht="15" customHeight="1" x14ac:dyDescent="0.35">
      <c r="A24" s="42"/>
      <c r="B24" s="243"/>
      <c r="C24" s="241"/>
      <c r="D24" s="235"/>
      <c r="E24" s="43"/>
      <c r="F24" s="242" t="s">
        <v>48</v>
      </c>
      <c r="G24" s="237"/>
      <c r="H24" s="233"/>
    </row>
    <row r="25" spans="1:15" ht="15" customHeight="1" x14ac:dyDescent="0.35">
      <c r="A25" s="42"/>
      <c r="B25" s="244"/>
      <c r="C25" s="238"/>
      <c r="D25" s="236"/>
      <c r="E25" s="43"/>
      <c r="F25" s="244"/>
      <c r="G25" s="238"/>
      <c r="H25" s="236"/>
    </row>
    <row r="26" spans="1:15" s="4" customFormat="1" ht="15" customHeight="1" x14ac:dyDescent="0.35">
      <c r="A26" s="44"/>
      <c r="B26" s="52"/>
      <c r="C26" s="43"/>
      <c r="D26" s="43"/>
      <c r="E26" s="43"/>
      <c r="F26" s="43"/>
      <c r="G26" s="43"/>
      <c r="H26" s="138"/>
      <c r="J26" s="3"/>
      <c r="K26" s="3"/>
      <c r="L26" s="3"/>
      <c r="M26" s="3"/>
      <c r="N26" s="3"/>
      <c r="O26" s="3"/>
    </row>
    <row r="27" spans="1:15" ht="15" customHeight="1" x14ac:dyDescent="0.35">
      <c r="A27" s="42"/>
      <c r="B27" s="47" t="s">
        <v>50</v>
      </c>
      <c r="C27" s="68"/>
      <c r="D27" s="128" t="s">
        <v>106</v>
      </c>
      <c r="E27" s="53"/>
      <c r="F27" s="47" t="s">
        <v>114</v>
      </c>
      <c r="G27" s="48"/>
      <c r="H27" s="128" t="s">
        <v>106</v>
      </c>
    </row>
    <row r="28" spans="1:15" ht="15" customHeight="1" x14ac:dyDescent="0.35">
      <c r="A28" s="42"/>
      <c r="B28" s="54" t="s">
        <v>51</v>
      </c>
      <c r="C28" s="41" t="s">
        <v>104</v>
      </c>
      <c r="D28" s="129" t="s">
        <v>104</v>
      </c>
      <c r="E28" s="43"/>
      <c r="F28" s="54" t="s">
        <v>62</v>
      </c>
      <c r="G28" s="75" t="str">
        <f>IF(AND($C$46="",$G$46="",$C$67="",$G$67=""),"",MIN($C$46,$G$46,$C$67,$G$67))</f>
        <v/>
      </c>
      <c r="H28" s="140" t="str">
        <f>IF(AND(D46="",$H$46="",$D$67="",$H$67=""),"",MIN($D$46,$H$46,$D$67,$H$67))</f>
        <v/>
      </c>
    </row>
    <row r="29" spans="1:15" ht="15" customHeight="1" x14ac:dyDescent="0.35">
      <c r="A29" s="42"/>
      <c r="B29" s="54" t="s">
        <v>53</v>
      </c>
      <c r="C29" s="41" t="s">
        <v>104</v>
      </c>
      <c r="D29" s="129" t="s">
        <v>104</v>
      </c>
      <c r="E29" s="43"/>
      <c r="F29" s="54" t="s">
        <v>64</v>
      </c>
      <c r="G29" s="75" t="str">
        <f>IF(AND($C$47="",$G$47="",$C$68="",$G$68=""),"",MAX($C$47,$G$47,$C$68,$G$68))</f>
        <v/>
      </c>
      <c r="H29" s="140" t="str">
        <f>IF(AND($D$47="",$H$47="",$D$68="",$H$68=""),"",MAX($D$47,$H$47,$D$68,$H$68))</f>
        <v/>
      </c>
    </row>
    <row r="30" spans="1:15" ht="15" customHeight="1" x14ac:dyDescent="0.35">
      <c r="A30" s="42"/>
      <c r="B30" s="54" t="s">
        <v>55</v>
      </c>
      <c r="C30" s="41" t="s">
        <v>104</v>
      </c>
      <c r="D30" s="129" t="s">
        <v>104</v>
      </c>
      <c r="E30" s="43"/>
      <c r="F30" s="119" t="s">
        <v>66</v>
      </c>
      <c r="G30" s="120" t="str">
        <f>IF(VLOOKUP($C$140,MeasureConfidence[[#All],[Confidence Score]:[Cross Ref]],2,FALSE)=0,"",VLOOKUP($C$140,MeasureConfidence[[#All],[Confidence Score]:[Cross Ref]],2,FALSE))</f>
        <v/>
      </c>
      <c r="H30" s="141" t="str">
        <f>IF(VLOOKUP($G$140,MeasureConfidence[[#All],[Confidence Score]:[Cross Ref]],2,FALSE)=0,"",VLOOKUP($G$140,MeasureConfidence[[#All],[Confidence Score]:[Cross Ref]],2,FALSE))</f>
        <v/>
      </c>
    </row>
    <row r="31" spans="1:15" ht="15" customHeight="1" x14ac:dyDescent="0.35">
      <c r="A31" s="42"/>
      <c r="B31" s="54" t="s">
        <v>57</v>
      </c>
      <c r="C31" s="41" t="s">
        <v>104</v>
      </c>
      <c r="D31" s="129" t="s">
        <v>104</v>
      </c>
      <c r="E31" s="43"/>
      <c r="F31" s="43"/>
      <c r="G31" s="43"/>
      <c r="H31" s="43"/>
    </row>
    <row r="32" spans="1:15" ht="15" customHeight="1" x14ac:dyDescent="0.35">
      <c r="A32" s="42"/>
      <c r="B32" s="74" t="s">
        <v>59</v>
      </c>
      <c r="C32" s="84" t="s">
        <v>104</v>
      </c>
      <c r="D32" s="130" t="s">
        <v>104</v>
      </c>
      <c r="E32" s="43"/>
      <c r="F32" s="43"/>
      <c r="G32" s="43"/>
      <c r="H32" s="43"/>
    </row>
    <row r="33" spans="1:8" ht="15" customHeight="1" x14ac:dyDescent="0.35">
      <c r="A33" s="42"/>
      <c r="B33" s="52"/>
      <c r="C33" s="43"/>
      <c r="D33" s="43"/>
      <c r="E33" s="43"/>
      <c r="F33" s="43"/>
      <c r="G33" s="43"/>
      <c r="H33" s="43"/>
    </row>
    <row r="34" spans="1:8" ht="15" customHeight="1" x14ac:dyDescent="0.35">
      <c r="A34" s="42"/>
      <c r="B34" s="47" t="s">
        <v>115</v>
      </c>
      <c r="C34" s="68"/>
      <c r="D34" s="126" t="s">
        <v>106</v>
      </c>
      <c r="E34" s="43"/>
      <c r="F34" s="47" t="s">
        <v>116</v>
      </c>
      <c r="G34" s="48"/>
      <c r="H34" s="128" t="s">
        <v>106</v>
      </c>
    </row>
    <row r="35" spans="1:8" ht="15" customHeight="1" x14ac:dyDescent="0.35">
      <c r="A35" s="42"/>
      <c r="B35" s="54" t="s">
        <v>69</v>
      </c>
      <c r="C35" s="76" t="str">
        <f>IF(AND(LEFT($C$10, 4)="INV-", ISNUMBER(VALUE(MID($C$10, 5, LEN($C$10)-4))), $C$36&lt;&gt;""), $C$10 &amp; "-" &amp; VLOOKUP("Benefit Profile 3", BenefitNumbering[#All], 2, FALSE) &amp; "-1", "")</f>
        <v/>
      </c>
      <c r="D35" s="76" t="str">
        <f>IF(AND(LEFT($C$10, 4)="INV-", ISNUMBER(VALUE(MID($C$10, 5, LEN($C$10)-4))), $D$36&lt;&gt;""), $C$10 &amp; "-" &amp; VLOOKUP("Benefit Profile 3", BenefitNumberingVar[#All], 2, FALSE) &amp; "-1", "")</f>
        <v/>
      </c>
      <c r="E35" s="43"/>
      <c r="F35" s="54" t="s">
        <v>69</v>
      </c>
      <c r="G35" s="76" t="str">
        <f>IF(AND(LEFT($C$10, 4)="INV-", ISNUMBER(VALUE(MID($C$10, 5, LEN($C$10)-4))), $G$36&lt;&gt;""), $C$10 &amp; "-" &amp; VLOOKUP("Benefit Profile 3", BenefitNumbering[#All], 2, FALSE) &amp; "-2", "")</f>
        <v/>
      </c>
      <c r="H35" s="76" t="str">
        <f>IF(AND(LEFT($C$10, 4)="INV-", ISNUMBER(VALUE(MID($C$10, 5, LEN($C$10)-4))), $H$36&lt;&gt;""), $C$10 &amp; "-" &amp; VLOOKUP("Benefit Profile 3", BenefitNumberingVar[#All], 2, FALSE) &amp; "-2", "")</f>
        <v/>
      </c>
    </row>
    <row r="36" spans="1:8" ht="15" customHeight="1" x14ac:dyDescent="0.35">
      <c r="A36" s="42"/>
      <c r="B36" s="54" t="s">
        <v>117</v>
      </c>
      <c r="C36" s="169"/>
      <c r="D36" s="143"/>
      <c r="E36" s="43"/>
      <c r="F36" s="54" t="s">
        <v>117</v>
      </c>
      <c r="G36" s="169"/>
      <c r="H36" s="143"/>
    </row>
    <row r="37" spans="1:8" ht="15" customHeight="1" x14ac:dyDescent="0.35">
      <c r="A37" s="42"/>
      <c r="B37" s="54" t="s">
        <v>72</v>
      </c>
      <c r="C37" s="169"/>
      <c r="D37" s="143"/>
      <c r="E37" s="43"/>
      <c r="F37" s="54" t="s">
        <v>72</v>
      </c>
      <c r="G37" s="169"/>
      <c r="H37" s="143"/>
    </row>
    <row r="38" spans="1:8" ht="15" customHeight="1" x14ac:dyDescent="0.35">
      <c r="A38" s="42"/>
      <c r="B38" s="115" t="s">
        <v>74</v>
      </c>
      <c r="C38" s="169"/>
      <c r="D38" s="143"/>
      <c r="E38" s="43"/>
      <c r="F38" s="54" t="s">
        <v>74</v>
      </c>
      <c r="G38" s="169"/>
      <c r="H38" s="143"/>
    </row>
    <row r="39" spans="1:8" ht="15" customHeight="1" x14ac:dyDescent="0.35">
      <c r="A39" s="42"/>
      <c r="B39" s="54" t="s">
        <v>76</v>
      </c>
      <c r="C39" s="169"/>
      <c r="D39" s="143"/>
      <c r="E39" s="43"/>
      <c r="F39" s="54" t="s">
        <v>76</v>
      </c>
      <c r="G39" s="169"/>
      <c r="H39" s="143"/>
    </row>
    <row r="40" spans="1:8" ht="15" customHeight="1" x14ac:dyDescent="0.35">
      <c r="A40" s="42"/>
      <c r="B40" s="54" t="s">
        <v>78</v>
      </c>
      <c r="C40" s="169"/>
      <c r="D40" s="143"/>
      <c r="E40" s="43"/>
      <c r="F40" s="54" t="s">
        <v>78</v>
      </c>
      <c r="G40" s="169"/>
      <c r="H40" s="143"/>
    </row>
    <row r="41" spans="1:8" ht="15" customHeight="1" x14ac:dyDescent="0.35">
      <c r="A41" s="42"/>
      <c r="B41" s="115" t="s">
        <v>439</v>
      </c>
      <c r="C41" s="169" t="s">
        <v>104</v>
      </c>
      <c r="D41" s="143" t="s">
        <v>104</v>
      </c>
      <c r="E41" s="43"/>
      <c r="F41" s="115" t="s">
        <v>439</v>
      </c>
      <c r="G41" s="169" t="s">
        <v>104</v>
      </c>
      <c r="H41" s="143"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438</v>
      </c>
      <c r="C45" s="116">
        <f>C44-C43</f>
        <v>0</v>
      </c>
      <c r="D45" s="116">
        <f>D44-D43</f>
        <v>0</v>
      </c>
      <c r="E45" s="43"/>
      <c r="F45" s="54" t="s">
        <v>438</v>
      </c>
      <c r="G45" s="116">
        <f>G44-G43</f>
        <v>0</v>
      </c>
      <c r="H45" s="116">
        <f>H44-H43</f>
        <v>0</v>
      </c>
    </row>
    <row r="46" spans="1:8" ht="15" customHeight="1" x14ac:dyDescent="0.35">
      <c r="A46" s="42"/>
      <c r="B46" s="54" t="s">
        <v>119</v>
      </c>
      <c r="C46" s="171"/>
      <c r="D46" s="132"/>
      <c r="E46" s="43"/>
      <c r="F46" s="54" t="s">
        <v>119</v>
      </c>
      <c r="G46" s="171"/>
      <c r="H46" s="132"/>
    </row>
    <row r="47" spans="1:8" ht="15" customHeight="1" x14ac:dyDescent="0.35">
      <c r="A47" s="42"/>
      <c r="B47" s="54" t="s">
        <v>120</v>
      </c>
      <c r="C47" s="171"/>
      <c r="D47" s="132"/>
      <c r="E47" s="43"/>
      <c r="F47" s="54" t="s">
        <v>120</v>
      </c>
      <c r="G47" s="171"/>
      <c r="H47" s="132"/>
    </row>
    <row r="48" spans="1:8" ht="15" customHeight="1" x14ac:dyDescent="0.35">
      <c r="A48" s="42"/>
      <c r="B48" s="54" t="s">
        <v>121</v>
      </c>
      <c r="C48" s="98"/>
      <c r="D48" s="144"/>
      <c r="E48" s="43"/>
      <c r="F48" s="54" t="s">
        <v>121</v>
      </c>
      <c r="G48" s="98"/>
      <c r="H48" s="144"/>
    </row>
    <row r="49" spans="1:8" ht="15" customHeight="1" x14ac:dyDescent="0.35">
      <c r="A49" s="42"/>
      <c r="B49" s="54" t="s">
        <v>92</v>
      </c>
      <c r="C49" s="81" t="s">
        <v>104</v>
      </c>
      <c r="D49" s="145" t="s">
        <v>104</v>
      </c>
      <c r="E49" s="43"/>
      <c r="F49" s="54" t="s">
        <v>92</v>
      </c>
      <c r="G49" s="81" t="s">
        <v>104</v>
      </c>
      <c r="H49" s="145"/>
    </row>
    <row r="50" spans="1:8" ht="15" customHeight="1" x14ac:dyDescent="0.35">
      <c r="A50" s="42"/>
      <c r="B50" s="54" t="s">
        <v>98</v>
      </c>
      <c r="C50" s="82"/>
      <c r="D50" s="145"/>
      <c r="E50" s="43"/>
      <c r="F50" s="54" t="s">
        <v>98</v>
      </c>
      <c r="G50" s="82"/>
      <c r="H50" s="145"/>
    </row>
    <row r="51" spans="1:8" ht="15" customHeight="1" x14ac:dyDescent="0.35">
      <c r="A51" s="42"/>
      <c r="B51" s="54" t="s">
        <v>94</v>
      </c>
      <c r="C51" s="82"/>
      <c r="D51" s="145"/>
      <c r="E51" s="43"/>
      <c r="F51" s="54" t="s">
        <v>94</v>
      </c>
      <c r="G51" s="82"/>
      <c r="H51" s="145"/>
    </row>
    <row r="52" spans="1:8" ht="15" customHeight="1" x14ac:dyDescent="0.35">
      <c r="A52" s="42"/>
      <c r="B52" s="54" t="s">
        <v>96</v>
      </c>
      <c r="C52" s="82"/>
      <c r="D52" s="146"/>
      <c r="E52" s="43"/>
      <c r="F52" s="54" t="s">
        <v>96</v>
      </c>
      <c r="G52" s="82"/>
      <c r="H52" s="146"/>
    </row>
    <row r="53" spans="1:8" ht="15" customHeight="1" x14ac:dyDescent="0.35">
      <c r="A53" s="42"/>
      <c r="B53" s="77" t="s">
        <v>100</v>
      </c>
      <c r="C53" s="83" t="s">
        <v>104</v>
      </c>
      <c r="D53" s="188" t="s">
        <v>104</v>
      </c>
      <c r="E53" s="43"/>
      <c r="F53" s="77" t="s">
        <v>100</v>
      </c>
      <c r="G53" s="83" t="s">
        <v>104</v>
      </c>
      <c r="H53" s="188" t="s">
        <v>104</v>
      </c>
    </row>
    <row r="54" spans="1:8" ht="15" customHeight="1" x14ac:dyDescent="0.35">
      <c r="A54" s="42"/>
      <c r="B54" s="52"/>
      <c r="C54" s="43"/>
      <c r="D54" s="43"/>
      <c r="E54" s="43"/>
      <c r="F54" s="43"/>
      <c r="G54" s="43"/>
      <c r="H54" s="43"/>
    </row>
    <row r="55" spans="1:8" ht="15" customHeight="1" x14ac:dyDescent="0.35">
      <c r="A55" s="42"/>
      <c r="B55" s="47" t="s">
        <v>122</v>
      </c>
      <c r="C55" s="68"/>
      <c r="D55" s="128" t="s">
        <v>106</v>
      </c>
      <c r="E55" s="43"/>
      <c r="F55" s="47" t="s">
        <v>123</v>
      </c>
      <c r="G55" s="48"/>
      <c r="H55" s="128" t="s">
        <v>106</v>
      </c>
    </row>
    <row r="56" spans="1:8" ht="15" customHeight="1" x14ac:dyDescent="0.35">
      <c r="A56" s="42"/>
      <c r="B56" s="54" t="s">
        <v>69</v>
      </c>
      <c r="C56" s="76" t="str">
        <f>IF(AND(LEFT($C$10, 4)="INV-", ISNUMBER(VALUE(MID($C$10, 5, LEN($C$10)-4))), $C$57&lt;&gt;""), $C$10 &amp; "-" &amp; VLOOKUP("Benefit Profile 3", BenefitNumbering[#All], 2, FALSE) &amp; "-3", "")</f>
        <v/>
      </c>
      <c r="D56" s="76" t="str">
        <f>IF(AND(LEFT($C$10, 4)="INV-", ISNUMBER(VALUE(MID($C$10, 5, LEN($C$10)-4))), $D$57&lt;&gt;""), $C$10 &amp; "-" &amp; VLOOKUP("Benefit Profile 3", BenefitNumberingVar[#All], 2, FALSE) &amp; "-3", "")</f>
        <v/>
      </c>
      <c r="E56" s="43"/>
      <c r="F56" s="54" t="s">
        <v>69</v>
      </c>
      <c r="G56" s="76" t="str">
        <f>IF(AND(LEFT($C$10, 4)="INV-", ISNUMBER(VALUE(MID($C$10, 5, LEN($C$10)-4))), $G$57&lt;&gt;""), $C$10 &amp; "-" &amp; VLOOKUP("Benefit Profile 3", BenefitNumbering[#All], 2, FALSE) &amp; "-4", "")</f>
        <v/>
      </c>
      <c r="H56" s="76" t="str">
        <f>IF(AND(LEFT($C$10, 4)="INV-", ISNUMBER(VALUE(MID($C$10, 5, LEN($C$10)-4))), $H$57&lt;&gt;""), $C$10 &amp; "-" &amp; VLOOKUP("Benefit Profile 3", BenefitNumberingVar[#All], 2, FALSE) &amp; "-4", "")</f>
        <v/>
      </c>
    </row>
    <row r="57" spans="1:8" ht="15" customHeight="1" x14ac:dyDescent="0.35">
      <c r="A57" s="55"/>
      <c r="B57" s="54" t="s">
        <v>117</v>
      </c>
      <c r="C57" s="169"/>
      <c r="D57" s="143"/>
      <c r="E57" s="78"/>
      <c r="F57" s="54" t="s">
        <v>117</v>
      </c>
      <c r="G57" s="169"/>
      <c r="H57" s="143"/>
    </row>
    <row r="58" spans="1:8" ht="15" customHeight="1" x14ac:dyDescent="0.35">
      <c r="A58" s="55"/>
      <c r="B58" s="54" t="s">
        <v>72</v>
      </c>
      <c r="C58" s="169"/>
      <c r="D58" s="143"/>
      <c r="E58" s="43"/>
      <c r="F58" s="54" t="s">
        <v>72</v>
      </c>
      <c r="G58" s="169"/>
      <c r="H58" s="143"/>
    </row>
    <row r="59" spans="1:8" ht="15" customHeight="1" x14ac:dyDescent="0.35">
      <c r="A59" s="55"/>
      <c r="B59" s="54" t="s">
        <v>74</v>
      </c>
      <c r="C59" s="169"/>
      <c r="D59" s="143"/>
      <c r="E59" s="43"/>
      <c r="F59" s="54" t="s">
        <v>74</v>
      </c>
      <c r="G59" s="169"/>
      <c r="H59" s="143"/>
    </row>
    <row r="60" spans="1:8" ht="15" customHeight="1" x14ac:dyDescent="0.35">
      <c r="A60" s="55"/>
      <c r="B60" s="54" t="s">
        <v>76</v>
      </c>
      <c r="C60" s="169"/>
      <c r="D60" s="143"/>
      <c r="E60" s="43"/>
      <c r="F60" s="54" t="s">
        <v>76</v>
      </c>
      <c r="G60" s="169"/>
      <c r="H60" s="143"/>
    </row>
    <row r="61" spans="1:8" ht="15" customHeight="1" x14ac:dyDescent="0.35">
      <c r="A61" s="55"/>
      <c r="B61" s="54" t="s">
        <v>78</v>
      </c>
      <c r="C61" s="169"/>
      <c r="D61" s="143"/>
      <c r="E61" s="43"/>
      <c r="F61" s="54" t="s">
        <v>78</v>
      </c>
      <c r="G61" s="169"/>
      <c r="H61" s="143"/>
    </row>
    <row r="62" spans="1:8" ht="15" customHeight="1" x14ac:dyDescent="0.35">
      <c r="A62" s="55"/>
      <c r="B62" s="115" t="s">
        <v>439</v>
      </c>
      <c r="C62" s="169" t="s">
        <v>104</v>
      </c>
      <c r="D62" s="143" t="s">
        <v>104</v>
      </c>
      <c r="E62" s="43"/>
      <c r="F62" s="115" t="s">
        <v>439</v>
      </c>
      <c r="G62" s="169" t="s">
        <v>104</v>
      </c>
      <c r="H62" s="143" t="s">
        <v>104</v>
      </c>
    </row>
    <row r="63" spans="1:8" ht="15" customHeight="1" x14ac:dyDescent="0.35">
      <c r="A63" s="55"/>
      <c r="B63" s="54" t="s">
        <v>118</v>
      </c>
      <c r="C63" s="171"/>
      <c r="D63" s="132"/>
      <c r="E63" s="43"/>
      <c r="F63" s="54" t="s">
        <v>118</v>
      </c>
      <c r="G63" s="171"/>
      <c r="H63" s="132"/>
    </row>
    <row r="64" spans="1:8" ht="15" customHeight="1" x14ac:dyDescent="0.35">
      <c r="A64" s="55"/>
      <c r="B64" s="54" t="s">
        <v>82</v>
      </c>
      <c r="C64" s="157"/>
      <c r="D64" s="133"/>
      <c r="E64" s="43"/>
      <c r="F64" s="54" t="s">
        <v>82</v>
      </c>
      <c r="G64" s="157"/>
      <c r="H64" s="133"/>
    </row>
    <row r="65" spans="1:8" ht="15" customHeight="1" x14ac:dyDescent="0.35">
      <c r="A65" s="55"/>
      <c r="B65" s="54" t="s">
        <v>84</v>
      </c>
      <c r="C65" s="157"/>
      <c r="D65" s="133"/>
      <c r="E65" s="43"/>
      <c r="F65" s="54" t="s">
        <v>84</v>
      </c>
      <c r="G65" s="157"/>
      <c r="H65" s="133"/>
    </row>
    <row r="66" spans="1:8" ht="15" customHeight="1" x14ac:dyDescent="0.35">
      <c r="A66" s="55"/>
      <c r="B66" s="54" t="s">
        <v>438</v>
      </c>
      <c r="C66" s="116">
        <f>C65-C64</f>
        <v>0</v>
      </c>
      <c r="D66" s="116">
        <f>D65-D64</f>
        <v>0</v>
      </c>
      <c r="E66" s="43"/>
      <c r="F66" s="54" t="s">
        <v>438</v>
      </c>
      <c r="G66" s="116">
        <f>G65-G64</f>
        <v>0</v>
      </c>
      <c r="H66" s="116">
        <f>H65-H64</f>
        <v>0</v>
      </c>
    </row>
    <row r="67" spans="1:8" ht="15" customHeight="1" x14ac:dyDescent="0.35">
      <c r="A67" s="55"/>
      <c r="B67" s="54" t="s">
        <v>119</v>
      </c>
      <c r="C67" s="171"/>
      <c r="D67" s="132"/>
      <c r="E67" s="43"/>
      <c r="F67" s="54" t="s">
        <v>119</v>
      </c>
      <c r="G67" s="171"/>
      <c r="H67" s="132"/>
    </row>
    <row r="68" spans="1:8" ht="15" customHeight="1" x14ac:dyDescent="0.35">
      <c r="A68" s="55"/>
      <c r="B68" s="54" t="s">
        <v>120</v>
      </c>
      <c r="C68" s="171"/>
      <c r="D68" s="132"/>
      <c r="E68" s="43"/>
      <c r="F68" s="54" t="s">
        <v>120</v>
      </c>
      <c r="G68" s="171"/>
      <c r="H68" s="132"/>
    </row>
    <row r="69" spans="1:8" ht="15" customHeight="1" x14ac:dyDescent="0.35">
      <c r="A69" s="55"/>
      <c r="B69" s="54" t="s">
        <v>121</v>
      </c>
      <c r="C69" s="98"/>
      <c r="D69" s="144"/>
      <c r="E69" s="43"/>
      <c r="F69" s="54" t="s">
        <v>121</v>
      </c>
      <c r="G69" s="98"/>
      <c r="H69" s="144"/>
    </row>
    <row r="70" spans="1:8" ht="15" customHeight="1" x14ac:dyDescent="0.35">
      <c r="A70" s="55"/>
      <c r="B70" s="54" t="s">
        <v>92</v>
      </c>
      <c r="C70" s="81" t="s">
        <v>104</v>
      </c>
      <c r="D70" s="145" t="s">
        <v>104</v>
      </c>
      <c r="E70" s="43"/>
      <c r="F70" s="54" t="s">
        <v>92</v>
      </c>
      <c r="G70" s="81" t="s">
        <v>104</v>
      </c>
      <c r="H70" s="145" t="s">
        <v>104</v>
      </c>
    </row>
    <row r="71" spans="1:8" ht="15" customHeight="1" x14ac:dyDescent="0.35">
      <c r="A71" s="55"/>
      <c r="B71" s="54" t="s">
        <v>98</v>
      </c>
      <c r="C71" s="82"/>
      <c r="D71" s="145"/>
      <c r="E71" s="43"/>
      <c r="F71" s="54" t="s">
        <v>98</v>
      </c>
      <c r="G71" s="82"/>
      <c r="H71" s="145"/>
    </row>
    <row r="72" spans="1:8" ht="15" customHeight="1" x14ac:dyDescent="0.35">
      <c r="A72" s="55"/>
      <c r="B72" s="54" t="s">
        <v>94</v>
      </c>
      <c r="C72" s="82"/>
      <c r="D72" s="145"/>
      <c r="E72" s="43"/>
      <c r="F72" s="54" t="s">
        <v>94</v>
      </c>
      <c r="G72" s="82"/>
      <c r="H72" s="145"/>
    </row>
    <row r="73" spans="1:8" ht="15" customHeight="1" x14ac:dyDescent="0.35">
      <c r="A73" s="55"/>
      <c r="B73" s="54" t="s">
        <v>96</v>
      </c>
      <c r="C73" s="82"/>
      <c r="D73" s="146"/>
      <c r="E73" s="43"/>
      <c r="F73" s="54" t="s">
        <v>96</v>
      </c>
      <c r="G73" s="82"/>
      <c r="H73" s="146"/>
    </row>
    <row r="74" spans="1:8" ht="15" customHeight="1" x14ac:dyDescent="0.35">
      <c r="A74" s="55"/>
      <c r="B74" s="77" t="s">
        <v>100</v>
      </c>
      <c r="C74" s="83" t="s">
        <v>104</v>
      </c>
      <c r="D74" s="188" t="s">
        <v>104</v>
      </c>
      <c r="E74" s="43"/>
      <c r="F74" s="77" t="s">
        <v>100</v>
      </c>
      <c r="G74" s="83" t="s">
        <v>104</v>
      </c>
      <c r="H74" s="188" t="s">
        <v>104</v>
      </c>
    </row>
    <row r="75" spans="1:8" ht="15" customHeight="1" x14ac:dyDescent="0.35"/>
    <row r="76" spans="1:8" ht="15" customHeight="1" x14ac:dyDescent="0.35"/>
    <row r="77" spans="1:8" ht="15" customHeight="1" x14ac:dyDescent="0.35"/>
    <row r="78" spans="1:8" ht="15" customHeight="1" x14ac:dyDescent="0.35">
      <c r="B78" s="239" t="s">
        <v>124</v>
      </c>
      <c r="C78" s="240"/>
    </row>
    <row r="79" spans="1:8" ht="15" customHeight="1" x14ac:dyDescent="0.35">
      <c r="B79" s="21" t="s">
        <v>125</v>
      </c>
      <c r="C79" s="70"/>
    </row>
    <row r="80" spans="1:8" ht="15" customHeight="1" x14ac:dyDescent="0.35">
      <c r="B80" s="21" t="s">
        <v>126</v>
      </c>
      <c r="C80" s="70"/>
    </row>
    <row r="81" spans="2:3" ht="15" customHeight="1" x14ac:dyDescent="0.35">
      <c r="B81" s="21" t="s">
        <v>127</v>
      </c>
      <c r="C81" s="72"/>
    </row>
    <row r="82" spans="2:3" ht="15" customHeight="1" x14ac:dyDescent="0.35">
      <c r="B82" s="21" t="s">
        <v>128</v>
      </c>
      <c r="C82" s="72"/>
    </row>
    <row r="83" spans="2:3" ht="15" customHeight="1" x14ac:dyDescent="0.35">
      <c r="B83" s="23" t="s">
        <v>129</v>
      </c>
      <c r="C83" s="73"/>
    </row>
    <row r="132" spans="2:7" hidden="1" x14ac:dyDescent="0.35"/>
    <row r="133" spans="2:7" hidden="1" x14ac:dyDescent="0.35">
      <c r="B133" s="29" t="s">
        <v>130</v>
      </c>
      <c r="C133" s="29">
        <f>_xlfn.IFNA(VLOOKUP($C$53,MeasureConfidence[[#All],[Measure Confidence Level]:[Confidence Score]],2,FALSE),0)</f>
        <v>0</v>
      </c>
      <c r="F133" s="58" t="s">
        <v>131</v>
      </c>
      <c r="G133" s="29">
        <f>_xlfn.IFNA(VLOOKUP($D$53,MeasureConfidence[[#All],[Measure Confidence Level]:[Confidence Score]],2,FALSE),0)</f>
        <v>0</v>
      </c>
    </row>
    <row r="134" spans="2:7" hidden="1" x14ac:dyDescent="0.35">
      <c r="B134" s="29" t="s">
        <v>132</v>
      </c>
      <c r="C134" s="29">
        <f>_xlfn.IFNA(VLOOKUP($G$53,MeasureConfidence[[#All],[Measure Confidence Level]:[Confidence Score]],2,FALSE),0)</f>
        <v>0</v>
      </c>
      <c r="F134" s="58" t="s">
        <v>133</v>
      </c>
      <c r="G134" s="29">
        <f>_xlfn.IFNA(VLOOKUP($H$53,MeasureConfidence[[#All],[Measure Confidence Level]:[Confidence Score]],2,FALSE),0)</f>
        <v>0</v>
      </c>
    </row>
    <row r="135" spans="2:7" hidden="1" x14ac:dyDescent="0.35">
      <c r="B135" s="29" t="s">
        <v>134</v>
      </c>
      <c r="C135" s="29">
        <f>_xlfn.IFNA(VLOOKUP($C$74,MeasureConfidence[[#All],[Measure Confidence Level]:[Confidence Score]],2,FALSE),0)</f>
        <v>0</v>
      </c>
      <c r="F135" s="58" t="s">
        <v>135</v>
      </c>
      <c r="G135" s="29">
        <f>_xlfn.IFNA(VLOOKUP($D$74,MeasureConfidence[[#All],[Measure Confidence Level]:[Confidence Score]],2,FALSE),0)</f>
        <v>0</v>
      </c>
    </row>
    <row r="136" spans="2:7" hidden="1" x14ac:dyDescent="0.35">
      <c r="B136" s="29" t="s">
        <v>136</v>
      </c>
      <c r="C136" s="29">
        <f>_xlfn.IFNA(VLOOKUP($G$74,MeasureConfidence[[#All],[Measure Confidence Level]:[Confidence Score]],2,FALSE),0)</f>
        <v>0</v>
      </c>
      <c r="F136" s="58" t="s">
        <v>137</v>
      </c>
      <c r="G136" s="29">
        <f>_xlfn.IFNA(VLOOKUP($H$74,MeasureConfidence[[#All],[Measure Confidence Level]:[Confidence Score]],2,FALSE),0)</f>
        <v>0</v>
      </c>
    </row>
    <row r="137" spans="2:7" hidden="1" x14ac:dyDescent="0.35">
      <c r="B137" s="29"/>
      <c r="C137" s="29"/>
      <c r="F137" s="58"/>
      <c r="G137" s="29"/>
    </row>
    <row r="138" spans="2:7" hidden="1" x14ac:dyDescent="0.35">
      <c r="B138" s="29" t="s">
        <v>138</v>
      </c>
      <c r="C138" s="29" t="e">
        <f>ROUND(AVERAGEIF(C133:C136,"&gt;0"),0)</f>
        <v>#DIV/0!</v>
      </c>
      <c r="F138" s="58" t="s">
        <v>138</v>
      </c>
      <c r="G138" s="29" t="e">
        <f>ROUND(AVERAGEIF(G133:G136,"&gt;0"),0)</f>
        <v>#DIV/0!</v>
      </c>
    </row>
    <row r="139" spans="2:7" hidden="1" x14ac:dyDescent="0.35">
      <c r="B139" s="29"/>
      <c r="C139" s="29"/>
      <c r="F139" s="58"/>
      <c r="G139" s="29"/>
    </row>
    <row r="140" spans="2:7" hidden="1" x14ac:dyDescent="0.35">
      <c r="B140" s="29" t="s">
        <v>139</v>
      </c>
      <c r="C140" s="29">
        <f>_xlfn.MINIFS(C133:C136,C133:C136,"&gt;0")</f>
        <v>0</v>
      </c>
      <c r="F140" s="58" t="s">
        <v>139</v>
      </c>
      <c r="G140" s="29">
        <f>_xlfn.MINIFS(G133:G136,G133:G136,"&gt;0")</f>
        <v>0</v>
      </c>
    </row>
    <row r="141" spans="2:7" hidden="1" x14ac:dyDescent="0.35"/>
    <row r="142" spans="2:7" hidden="1" x14ac:dyDescent="0.35"/>
    <row r="143" spans="2:7" hidden="1" x14ac:dyDescent="0.35"/>
    <row r="144" spans="2:7" hidden="1" x14ac:dyDescent="0.35"/>
    <row r="145" hidden="1" x14ac:dyDescent="0.35"/>
    <row r="146" hidden="1" x14ac:dyDescent="0.35"/>
    <row r="147" hidden="1" x14ac:dyDescent="0.35"/>
    <row r="148" hidden="1" x14ac:dyDescent="0.35"/>
    <row r="149" hidden="1" x14ac:dyDescent="0.35"/>
  </sheetData>
  <sheetProtection algorithmName="SHA-512" hashValue="oBQImmkO6oROONmLVerGMN5d0VyBq82lwCozjKB1YpQsKIzOFi8QFQZe+lDY+r0WlDoLDAQ33yUYpUX5v15j7w==" saltValue="G7B7hLqOyo9QnyGFTluQYA==" spinCount="100000" sheet="1" formatColumns="0" formatRows="0"/>
  <dataConsolidate link="1"/>
  <mergeCells count="7">
    <mergeCell ref="G24:G25"/>
    <mergeCell ref="H24:H25"/>
    <mergeCell ref="B78:C78"/>
    <mergeCell ref="B21:B25"/>
    <mergeCell ref="C21:C25"/>
    <mergeCell ref="D21:D25"/>
    <mergeCell ref="F24:F25"/>
  </mergeCells>
  <dataValidations xWindow="626" yWindow="535" count="28">
    <dataValidation allowBlank="1" showInputMessage="1" showErrorMessage="1" prompt="Investment Details - automatically filled from Benefit Profile 1." sqref="C10" xr:uid="{BEF65EC7-E8C9-49F0-AD15-BEA489D0D33A}"/>
    <dataValidation type="decimal" errorStyle="information" operator="greaterThan" allowBlank="1" showInputMessage="1" showErrorMessage="1" error="Numerical value only please" prompt="Numerical value only please" sqref="G45:H45" xr:uid="{E58F4FB5-3EDD-47ED-8AAF-2876446471FF}">
      <formula1>0</formula1>
    </dataValidation>
    <dataValidation type="list" allowBlank="1" showInputMessage="1" showErrorMessage="1" sqref="G41:H41 C62:D62 G62:H62" xr:uid="{E58E5C68-8407-4D40-9B93-1C1B86CB9A52}">
      <formula1>"Please select, Increase, Decrease"</formula1>
    </dataValidation>
    <dataValidation type="list" operator="greaterThanOrEqual" allowBlank="1" showInputMessage="1" showErrorMessage="1" sqref="C41:D41" xr:uid="{3DDF3B22-D21F-4F5C-BDEC-EA51D2F2D0A6}">
      <formula1>"Please select, Increase, Decrease"</formula1>
    </dataValidation>
    <dataValidation type="decimal" errorStyle="information" operator="lessThan" allowBlank="1" showInputMessage="1" showErrorMessage="1" error="Numerical value only please" prompt="Numerical value only please" sqref="C45:D45 C66:D66 G66:H66" xr:uid="{0AC1FD91-E02E-4CCB-8FC1-1AB62361FC42}">
      <formula1>0</formula1>
    </dataValidation>
    <dataValidation type="list" allowBlank="1" showInputMessage="1" showErrorMessage="1" sqref="C49 G49 C70 G70" xr:uid="{BCF55A8F-8E69-4651-8D83-D66B98507B06}">
      <formula1>"Please select, Weekly, Fortnightly, In planning, Monthly, Quarterly, Biannually, Year (calendar), Year (financial)"</formula1>
    </dataValidation>
    <dataValidation type="list" allowBlank="1" showInputMessage="1" showErrorMessage="1" sqref="C31" xr:uid="{CCDEFEC8-FDA2-4A9B-B8C7-ABF3B60D1DDD}">
      <formula1>"Please select, Agency, Business, Citizen, Government"</formula1>
    </dataValidation>
    <dataValidation type="list" allowBlank="1" showInputMessage="1" showErrorMessage="1" sqref="C32" xr:uid="{B3106D4E-B7C8-44FC-BC16-0AE95AA60BBC}">
      <formula1>"Please select, Data and digital foundations, Delivering for all people and business, Government for the future, Simple and seamless services, Trusted and secure"</formula1>
    </dataValidation>
    <dataValidation type="list" allowBlank="1" showInputMessage="1" showErrorMessage="1" sqref="C28" xr:uid="{BD4D5864-1614-414F-AB6F-65099096E990}">
      <formula1>"Please select, Financial - Cashable, Financial - Non-Cashable, Non-financial"</formula1>
    </dataValidation>
    <dataValidation type="list" allowBlank="1" showInputMessage="1" showErrorMessage="1" sqref="C29" xr:uid="{5AD9F791-D5F7-4823-8737-085E31DB7452}">
      <formula1>"Please select, Benefit, Disbenefit"</formula1>
    </dataValidation>
    <dataValidation allowBlank="1" showInputMessage="1" showErrorMessage="1" prompt="Benefit Endorsement fields will be automatically filled from Benefit Profile 1, except for date fields. _x000a_Please change if different." sqref="G18" xr:uid="{7737DD7A-5D95-4145-BCC9-E6094897BE40}"/>
    <dataValidation allowBlank="1" showInputMessage="1" showErrorMessage="1" prompt="DTA numbering system. Automatically populated when the DTA Investment ID is filled." sqref="C18" xr:uid="{39C7FA10-80FC-4592-86EA-B0FF3C944677}"/>
    <dataValidation errorStyle="information" allowBlank="1" showInputMessage="1" showErrorMessage="1" sqref="G22" xr:uid="{7A2663C9-982A-41DF-93B6-B1024D71C8D2}"/>
    <dataValidation type="date" operator="greaterThan" allowBlank="1" showInputMessage="1" showErrorMessage="1" sqref="G23" xr:uid="{D107CCEC-1A36-49C8-8CAF-3C2A56D33BAC}">
      <formula1>36526</formula1>
    </dataValidation>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6:D47 C79:C80 G42:H42 C42:D42 G46:H47 C67:D68 G67:H68" xr:uid="{0F77DDF9-3F19-4D53-AC47-475DD577E3C2}">
      <formula1>1</formula1>
    </dataValidation>
    <dataValidation type="decimal" errorStyle="warning" allowBlank="1" showInputMessage="1" showErrorMessage="1" sqref="H48 D69 D48 H69" xr:uid="{C2084293-147F-4152-96B4-0B15C4676B56}">
      <formula1>0</formula1>
      <formula2>1</formula2>
    </dataValidation>
    <dataValidation type="decimal" allowBlank="1" showInputMessage="1" showErrorMessage="1" sqref="C48 G48 C69 G69" xr:uid="{533C2792-B0F0-46D9-9342-B065F800DFBF}">
      <formula1>0</formula1>
      <formula2>1</formula2>
    </dataValidation>
    <dataValidation allowBlank="1" showInputMessage="1" showErrorMessage="1" prompt="Automatically calculated based on the lowest Benefit Confidence Level of the Measures/KPIs." sqref="G30" xr:uid="{FF18533B-EF24-4DA0-A2FF-E0E2B0028103}"/>
    <dataValidation allowBlank="1" showInputMessage="1" showErrorMessage="1" prompt="Automatically populated based on the earliest Realisation Start Date of the Measure/KPI date." sqref="G28" xr:uid="{B092539E-CE95-40DF-9AAD-395C6B194C6C}"/>
    <dataValidation allowBlank="1" showInputMessage="1" showErrorMessage="1" prompt="Automatically populated based on the latest Realisation End Date of the Measure/KPI date." sqref="G29" xr:uid="{D1C10F09-302F-48E8-82C1-7730C74AEF67}"/>
    <dataValidation operator="greaterThanOrEqual" allowBlank="1" showInputMessage="1" showErrorMessage="1" sqref="C40" xr:uid="{51462580-C827-48C8-A7EF-8A78EAFEC432}"/>
    <dataValidation type="date" errorStyle="warning" operator="greaterThan" allowBlank="1" showInputMessage="1" showErrorMessage="1" sqref="G21" xr:uid="{C5F4724A-56F6-4BBD-92A1-5E8CA0C45C48}">
      <formula1>36526</formula1>
    </dataValidation>
    <dataValidation type="decimal" operator="greaterThan" allowBlank="1" showInputMessage="1" showErrorMessage="1" error="Numerical value only please" prompt="Numerical value only please" sqref="C43:C44 C64:C65 G43:G44 G64:G65" xr:uid="{46745536-0B8A-4589-90DE-9D3B9C30985B}">
      <formula1>0.0000000000001</formula1>
    </dataValidation>
    <dataValidation allowBlank="1" showInputMessage="1" showErrorMessage="1" prompt="Automatically populated when the Measure Name's cell is entered/filled" sqref="C35 G35 G56 C56" xr:uid="{77E8A1BE-5A30-4E14-A7B2-E2239B1367D0}"/>
    <dataValidation type="decimal" operator="greaterThan" allowBlank="1" showInputMessage="1" showErrorMessage="1" prompt="Numerical value only please" sqref="C65 G65" xr:uid="{555CAAF2-BDAC-438A-AC57-4C5732D50DF8}">
      <formula1>0</formula1>
    </dataValidation>
    <dataValidation type="date" operator="greaterThan" allowBlank="1" showInputMessage="1" showErrorMessage="1" error="Numerical value only please" prompt="Numerical value only please" sqref="G63 C63" xr:uid="{48F596C1-5BDB-44A6-A849-31ADD27832EA}">
      <formula1>1</formula1>
    </dataValidation>
    <dataValidation type="date" operator="greaterThan" allowBlank="1" showInputMessage="1" showErrorMessage="1" sqref="H63 D63" xr:uid="{A00A7ECF-432E-42F5-942C-A5504086D9C2}">
      <formula1>1</formula1>
    </dataValidation>
    <dataValidation type="decimal" operator="greaterThan" allowBlank="1" showInputMessage="1" showErrorMessage="1" sqref="D43:D44 H43:H44 D64:D65 H64:H65" xr:uid="{C8D7B1F3-0B60-4F45-A821-532FF47AD6EC}">
      <formula1>0.0000000000001</formula1>
    </dataValidation>
  </dataValidations>
  <printOptions horizontalCentered="1"/>
  <pageMargins left="0" right="0" top="0.74803149606299213" bottom="0.35433070866141736" header="0.31496062992125984" footer="0.31496062992125984"/>
  <pageSetup paperSize="9" scale="71" orientation="portrait" r:id="rId1"/>
  <ignoredErrors>
    <ignoredError sqref="C12:C14 G18:H25" unlockedFormula="1"/>
  </ignoredErrors>
  <drawing r:id="rId2"/>
  <extLst>
    <ext xmlns:x14="http://schemas.microsoft.com/office/spreadsheetml/2009/9/main" uri="{CCE6A557-97BC-4b89-ADB6-D9C93CAAB3DF}">
      <x14:dataValidations xmlns:xm="http://schemas.microsoft.com/office/excel/2006/main" xWindow="626" yWindow="535" count="9">
        <x14:dataValidation type="list" allowBlank="1" showInputMessage="1" showErrorMessage="1" xr:uid="{B288CC79-802C-47A0-9D20-BBA753134061}">
          <x14:formula1>
            <xm:f>'Validation Table'!$B$3:$B$6</xm:f>
          </x14:formula1>
          <xm:sqref>D28</xm:sqref>
        </x14:dataValidation>
        <x14:dataValidation type="list" allowBlank="1" showInputMessage="1" showErrorMessage="1" xr:uid="{6D82429C-B15D-4ABC-B4BB-66114A335FA7}">
          <x14:formula1>
            <xm:f>'Validation Table'!$C$3:$C$17</xm:f>
          </x14:formula1>
          <xm:sqref>C30:D30</xm:sqref>
        </x14:dataValidation>
        <x14:dataValidation type="list" allowBlank="1" showInputMessage="1" showErrorMessage="1" xr:uid="{EC44036A-299F-4FF9-898A-8F7623946E54}">
          <x14:formula1>
            <xm:f>'Validation Table'!$E$3:$E$7</xm:f>
          </x14:formula1>
          <xm:sqref>D31</xm:sqref>
        </x14:dataValidation>
        <x14:dataValidation type="list" allowBlank="1" showInputMessage="1" showErrorMessage="1" xr:uid="{075E479D-0EB6-48AD-A9CB-B1966F8DE62F}">
          <x14:formula1>
            <xm:f>'Validation Table'!$F$3:$F$8</xm:f>
          </x14:formula1>
          <xm:sqref>D32</xm:sqref>
        </x14:dataValidation>
        <x14:dataValidation type="list" allowBlank="1" showInputMessage="1" showErrorMessage="1" xr:uid="{4D61B514-065C-4994-934D-78E0A36449FA}">
          <x14:formula1>
            <xm:f>'Validation Table'!$H$3:$H$11</xm:f>
          </x14:formula1>
          <xm:sqref>D70 H49 D49 H70</xm:sqref>
        </x14:dataValidation>
        <x14:dataValidation type="list" allowBlank="1" showInputMessage="1" showErrorMessage="1" xr:uid="{2C81448D-541B-4843-9C75-7374ED9A9A1E}">
          <x14:formula1>
            <xm:f>'Validation Table'!$D$3:$D$7</xm:f>
          </x14:formula1>
          <xm:sqref>D29</xm:sqref>
        </x14:dataValidation>
        <x14:dataValidation type="list" allowBlank="1" showInputMessage="1" showErrorMessage="1" xr:uid="{6CE2B110-8AA2-4B13-99C9-A574B4DB1528}">
          <x14:formula1>
            <xm:f>'0. PortfolioAgencyLinks'!$T$1:$T$193</xm:f>
          </x14:formula1>
          <xm:sqref>C13:C14</xm:sqref>
        </x14:dataValidation>
        <x14:dataValidation type="list" allowBlank="1" showInputMessage="1" showErrorMessage="1" xr:uid="{AC755E83-2B2D-44E4-B36B-11EEBAA9D94A}">
          <x14:formula1>
            <xm:f>'Validation Table'!$I$3:$I$8</xm:f>
          </x14:formula1>
          <xm:sqref>C53:D53 G53:H53 C74:D74 G74:H74</xm:sqref>
        </x14:dataValidation>
        <x14:dataValidation type="list" allowBlank="1" showInputMessage="1" showErrorMessage="1" prompt="Agency fields will be automatically filled from Benefit Profile 1. Please change if different." xr:uid="{D9452B5A-F826-4ECB-9785-797AE9654362}">
          <x14:formula1>
            <xm:f>'0. PortfolioAgencyLinks'!$T$1:$T$193</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182-ADE9-48A0-9078-D1E0ADFBFC6C}">
  <sheetPr>
    <tabColor rgb="FFC8EBD7"/>
    <pageSetUpPr fitToPage="1"/>
  </sheetPr>
  <dimension ref="A1:O144"/>
  <sheetViews>
    <sheetView zoomScale="90" zoomScaleNormal="90" workbookViewId="0">
      <selection activeCell="C10" sqref="C10"/>
    </sheetView>
  </sheetViews>
  <sheetFormatPr defaultColWidth="9.1796875" defaultRowHeight="14.5" outlineLevelCol="1" x14ac:dyDescent="0.35"/>
  <cols>
    <col min="1" max="1" width="2" style="3" customWidth="1"/>
    <col min="2" max="3" width="45.7265625" style="3" customWidth="1"/>
    <col min="4" max="4" width="45.7265625" style="55" hidden="1" customWidth="1" outlineLevel="1"/>
    <col min="5" max="5" width="5.7265625" style="3" customWidth="1" collapsed="1"/>
    <col min="6" max="6" width="45.7265625" style="55" customWidth="1"/>
    <col min="7" max="7" width="45.7265625" style="3" customWidth="1"/>
    <col min="8" max="8" width="45.7265625" style="55"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42"/>
      <c r="D1" s="42"/>
      <c r="E1" s="42"/>
      <c r="F1" s="42"/>
      <c r="G1" s="42"/>
      <c r="H1" s="42"/>
    </row>
    <row r="2" spans="1:15" x14ac:dyDescent="0.35">
      <c r="A2" s="42"/>
      <c r="B2" s="42"/>
      <c r="C2" s="42"/>
      <c r="D2" s="42"/>
      <c r="E2" s="42"/>
      <c r="F2" s="42"/>
      <c r="G2" s="42"/>
      <c r="H2" s="42"/>
    </row>
    <row r="3" spans="1:15" x14ac:dyDescent="0.35">
      <c r="A3" s="42"/>
      <c r="B3" s="42"/>
      <c r="C3" s="42"/>
      <c r="D3" s="42"/>
      <c r="E3" s="42"/>
      <c r="F3" s="42"/>
      <c r="G3" s="42"/>
      <c r="H3" s="42"/>
    </row>
    <row r="4" spans="1:15" ht="42" customHeight="1" x14ac:dyDescent="0.35">
      <c r="A4" s="42"/>
      <c r="B4" s="42"/>
      <c r="C4" s="42"/>
      <c r="D4" s="42"/>
      <c r="E4" s="42"/>
      <c r="F4" s="42"/>
      <c r="G4" s="42"/>
      <c r="H4" s="42"/>
    </row>
    <row r="5" spans="1:15" ht="46" x14ac:dyDescent="0.35">
      <c r="A5" s="42"/>
      <c r="B5" s="204" t="s">
        <v>197</v>
      </c>
      <c r="C5" s="57"/>
      <c r="D5" s="152"/>
      <c r="E5" s="56"/>
      <c r="F5" s="56"/>
      <c r="G5" s="42"/>
      <c r="H5" s="42"/>
    </row>
    <row r="6" spans="1:15" x14ac:dyDescent="0.35">
      <c r="A6" s="42"/>
      <c r="B6" s="42"/>
      <c r="C6" s="42"/>
      <c r="D6" s="42"/>
      <c r="E6" s="42"/>
      <c r="F6" s="42"/>
      <c r="G6" s="42"/>
      <c r="H6" s="42"/>
    </row>
    <row r="7" spans="1:15" ht="15" customHeight="1" x14ac:dyDescent="0.35">
      <c r="A7" s="42"/>
      <c r="B7" s="56"/>
      <c r="C7" s="152"/>
      <c r="D7" s="153"/>
      <c r="E7" s="43"/>
      <c r="F7" s="43"/>
      <c r="G7" s="147"/>
      <c r="H7" s="147"/>
    </row>
    <row r="8" spans="1:15" ht="15" customHeight="1" x14ac:dyDescent="0.35">
      <c r="A8" s="42"/>
      <c r="B8" s="42"/>
      <c r="C8" s="147"/>
      <c r="D8" s="147"/>
      <c r="E8" s="43"/>
      <c r="F8" s="43"/>
      <c r="G8" s="147"/>
      <c r="H8" s="147"/>
    </row>
    <row r="9" spans="1:15" s="4" customFormat="1" ht="15" customHeight="1" x14ac:dyDescent="0.35">
      <c r="A9" s="44"/>
      <c r="B9" s="45" t="s">
        <v>103</v>
      </c>
      <c r="C9" s="199"/>
      <c r="D9" s="147"/>
      <c r="E9" s="43"/>
      <c r="F9" s="43"/>
      <c r="G9" s="147"/>
      <c r="H9" s="147"/>
      <c r="J9" s="3"/>
      <c r="K9" s="3"/>
      <c r="L9" s="3"/>
      <c r="M9" s="3"/>
      <c r="N9" s="3"/>
      <c r="O9" s="3"/>
    </row>
    <row r="10" spans="1:15" ht="15" customHeight="1" x14ac:dyDescent="0.35">
      <c r="A10" s="42"/>
      <c r="B10" s="88" t="s">
        <v>29</v>
      </c>
      <c r="C10" s="92">
        <f>'Benefit Profile 1'!$C$10</f>
        <v>0</v>
      </c>
      <c r="D10" s="147"/>
      <c r="E10" s="43"/>
      <c r="F10" s="43"/>
      <c r="G10" s="147"/>
      <c r="H10" s="147"/>
    </row>
    <row r="11" spans="1:15" ht="15" customHeight="1" x14ac:dyDescent="0.35">
      <c r="A11" s="42"/>
      <c r="B11" s="90" t="s">
        <v>30</v>
      </c>
      <c r="C11" s="92">
        <f>'Benefit Profile 1'!$C$11</f>
        <v>0</v>
      </c>
      <c r="D11" s="147"/>
      <c r="E11" s="43"/>
      <c r="F11" s="43"/>
      <c r="G11" s="147"/>
      <c r="H11" s="147"/>
    </row>
    <row r="12" spans="1:15" ht="15" customHeight="1" x14ac:dyDescent="0.35">
      <c r="A12" s="42"/>
      <c r="B12" s="90" t="s">
        <v>31</v>
      </c>
      <c r="C12" s="97" t="str">
        <f>'Benefit Profile 1'!$C$12</f>
        <v>Please select</v>
      </c>
      <c r="D12" s="147"/>
      <c r="E12" s="43"/>
      <c r="F12" s="43"/>
      <c r="G12" s="147"/>
      <c r="H12" s="147"/>
    </row>
    <row r="13" spans="1:15" ht="15" customHeight="1" x14ac:dyDescent="0.35">
      <c r="A13" s="42"/>
      <c r="B13" s="90" t="s">
        <v>33</v>
      </c>
      <c r="C13" s="97" t="str">
        <f>'Benefit Profile 1'!$C$13</f>
        <v>Please select</v>
      </c>
      <c r="D13" s="147"/>
      <c r="E13" s="43"/>
      <c r="F13" s="43"/>
      <c r="G13" s="147"/>
      <c r="H13" s="147"/>
    </row>
    <row r="14" spans="1:15" ht="30" customHeight="1" x14ac:dyDescent="0.35">
      <c r="A14" s="42"/>
      <c r="B14" s="91" t="s">
        <v>105</v>
      </c>
      <c r="C14" s="97" t="str">
        <f>'Benefit Profile 1'!$C$14</f>
        <v>Please select</v>
      </c>
      <c r="D14" s="147"/>
      <c r="E14" s="43"/>
      <c r="F14" s="43"/>
      <c r="G14" s="147"/>
      <c r="H14" s="147"/>
    </row>
    <row r="15" spans="1:15" ht="15" customHeight="1" x14ac:dyDescent="0.35">
      <c r="A15" s="42"/>
      <c r="B15" s="43"/>
      <c r="C15" s="147"/>
      <c r="D15" s="147"/>
      <c r="E15" s="43"/>
      <c r="F15" s="43"/>
      <c r="G15" s="147"/>
      <c r="H15" s="147"/>
    </row>
    <row r="16" spans="1:15" ht="15" customHeight="1" x14ac:dyDescent="0.35">
      <c r="A16" s="42"/>
      <c r="B16" s="43"/>
      <c r="C16" s="147"/>
      <c r="D16" s="147"/>
      <c r="E16" s="43"/>
      <c r="F16" s="43"/>
      <c r="G16" s="147"/>
      <c r="H16" s="147"/>
    </row>
    <row r="17" spans="1:15" s="4" customFormat="1" ht="15" customHeight="1" x14ac:dyDescent="0.35">
      <c r="A17" s="44"/>
      <c r="B17" s="47" t="s">
        <v>42</v>
      </c>
      <c r="C17" s="195"/>
      <c r="D17" s="154" t="s">
        <v>106</v>
      </c>
      <c r="E17" s="49"/>
      <c r="F17" s="47" t="s">
        <v>107</v>
      </c>
      <c r="G17" s="195"/>
      <c r="H17" s="148" t="s">
        <v>106</v>
      </c>
      <c r="J17" s="3"/>
      <c r="K17" s="3"/>
      <c r="L17" s="3"/>
      <c r="M17" s="3"/>
      <c r="N17" s="3"/>
      <c r="O17" s="3"/>
    </row>
    <row r="18" spans="1:15" s="30" customFormat="1" ht="15" customHeight="1" x14ac:dyDescent="0.35">
      <c r="A18" s="50"/>
      <c r="B18" s="54" t="s">
        <v>38</v>
      </c>
      <c r="C18" s="76" t="str">
        <f>IF(AND(LEFT(C10, 4)="INV-", ISNUMBER(VALUE(MID(C10, 5, LEN(C10)-4)))), C10 &amp; "-" &amp; VLOOKUP("Benefit Profile 4", BenefitNumbering[#All], 2, FALSE), "")</f>
        <v/>
      </c>
      <c r="D18" s="76" t="str">
        <f>IF(AND(LEFT(C10, 4)="INV-", ISNUMBER(VALUE(MID(C10, 5, LEN(C10)-4)))), C10 &amp; "-" &amp; VLOOKUP("Benefit Profile 4", BenefitNumberingVar[#All], 2, FALSE), "")</f>
        <v/>
      </c>
      <c r="E18" s="51"/>
      <c r="F18" s="54" t="s">
        <v>108</v>
      </c>
      <c r="G18" s="118">
        <f>'Benefit Profile 1'!$G$18</f>
        <v>0</v>
      </c>
      <c r="H18" s="197">
        <f>'Benefit Profile 1'!$H$18</f>
        <v>0</v>
      </c>
      <c r="J18" s="3"/>
      <c r="K18" s="3"/>
      <c r="L18" s="3"/>
      <c r="M18" s="3"/>
      <c r="N18" s="3"/>
      <c r="O18" s="3"/>
    </row>
    <row r="19" spans="1:15" ht="15" customHeight="1" x14ac:dyDescent="0.35">
      <c r="A19" s="42"/>
      <c r="B19" s="85" t="s">
        <v>109</v>
      </c>
      <c r="C19" s="41"/>
      <c r="D19" s="150"/>
      <c r="E19" s="43"/>
      <c r="F19" s="86" t="s">
        <v>110</v>
      </c>
      <c r="G19" s="118">
        <f>'Benefit Profile 1'!$G$19</f>
        <v>0</v>
      </c>
      <c r="H19" s="197">
        <f>'Benefit Profile 1'!$H$19</f>
        <v>0</v>
      </c>
    </row>
    <row r="20" spans="1:15" ht="15" customHeight="1" x14ac:dyDescent="0.35">
      <c r="A20" s="42"/>
      <c r="B20" s="85" t="s">
        <v>41</v>
      </c>
      <c r="C20" s="41"/>
      <c r="D20" s="150"/>
      <c r="E20" s="43"/>
      <c r="F20" s="86" t="s">
        <v>46</v>
      </c>
      <c r="G20" s="118">
        <f>'Benefit Profile 1'!$G$20</f>
        <v>0</v>
      </c>
      <c r="H20" s="197">
        <f>'Benefit Profile 1'!$H$20</f>
        <v>0</v>
      </c>
    </row>
    <row r="21" spans="1:15" ht="15" customHeight="1" x14ac:dyDescent="0.35">
      <c r="A21" s="42"/>
      <c r="B21" s="242" t="s">
        <v>42</v>
      </c>
      <c r="C21" s="241"/>
      <c r="D21" s="233"/>
      <c r="E21" s="43"/>
      <c r="F21" s="86" t="s">
        <v>111</v>
      </c>
      <c r="G21" s="99"/>
      <c r="H21" s="170"/>
    </row>
    <row r="22" spans="1:15" ht="15" customHeight="1" x14ac:dyDescent="0.35">
      <c r="A22" s="42"/>
      <c r="B22" s="243"/>
      <c r="C22" s="241"/>
      <c r="D22" s="235"/>
      <c r="E22" s="43"/>
      <c r="F22" s="86" t="s">
        <v>112</v>
      </c>
      <c r="G22" s="97">
        <f>'Benefit Profile 1'!$G$22</f>
        <v>0</v>
      </c>
      <c r="H22" s="97">
        <f>'Benefit Profile 1'!$H$22</f>
        <v>0</v>
      </c>
    </row>
    <row r="23" spans="1:15" ht="15" customHeight="1" x14ac:dyDescent="0.35">
      <c r="A23" s="42"/>
      <c r="B23" s="243"/>
      <c r="C23" s="241"/>
      <c r="D23" s="235"/>
      <c r="E23" s="43"/>
      <c r="F23" s="86" t="s">
        <v>113</v>
      </c>
      <c r="G23" s="99"/>
      <c r="H23" s="170"/>
    </row>
    <row r="24" spans="1:15" ht="15" customHeight="1" x14ac:dyDescent="0.35">
      <c r="A24" s="42"/>
      <c r="B24" s="243"/>
      <c r="C24" s="241"/>
      <c r="D24" s="235"/>
      <c r="E24" s="43"/>
      <c r="F24" s="242" t="s">
        <v>48</v>
      </c>
      <c r="G24" s="237"/>
      <c r="H24" s="233"/>
    </row>
    <row r="25" spans="1:15" ht="15" customHeight="1" x14ac:dyDescent="0.35">
      <c r="A25" s="42"/>
      <c r="B25" s="244"/>
      <c r="C25" s="238"/>
      <c r="D25" s="236"/>
      <c r="E25" s="43"/>
      <c r="F25" s="244"/>
      <c r="G25" s="238"/>
      <c r="H25" s="236"/>
    </row>
    <row r="26" spans="1:15" s="4" customFormat="1" ht="15" customHeight="1" x14ac:dyDescent="0.35">
      <c r="A26" s="44"/>
      <c r="B26" s="52"/>
      <c r="C26" s="147"/>
      <c r="D26" s="147"/>
      <c r="E26" s="43"/>
      <c r="F26" s="43"/>
      <c r="G26" s="147"/>
      <c r="H26" s="151"/>
      <c r="J26" s="3"/>
      <c r="K26" s="3"/>
      <c r="L26" s="3"/>
      <c r="M26" s="3"/>
      <c r="N26" s="3"/>
      <c r="O26" s="3"/>
    </row>
    <row r="27" spans="1:15" ht="15" customHeight="1" x14ac:dyDescent="0.35">
      <c r="A27" s="42"/>
      <c r="B27" s="47" t="s">
        <v>50</v>
      </c>
      <c r="C27" s="195"/>
      <c r="D27" s="148" t="s">
        <v>106</v>
      </c>
      <c r="E27" s="53"/>
      <c r="F27" s="47" t="s">
        <v>114</v>
      </c>
      <c r="G27" s="195"/>
      <c r="H27" s="148" t="s">
        <v>106</v>
      </c>
    </row>
    <row r="28" spans="1:15" ht="15" customHeight="1" x14ac:dyDescent="0.35">
      <c r="A28" s="42"/>
      <c r="B28" s="54" t="s">
        <v>51</v>
      </c>
      <c r="C28" s="41" t="s">
        <v>104</v>
      </c>
      <c r="D28" s="149" t="s">
        <v>104</v>
      </c>
      <c r="E28" s="43"/>
      <c r="F28" s="54" t="s">
        <v>62</v>
      </c>
      <c r="G28" s="75" t="str">
        <f>IF(AND($C$46="",$G$46="",$C$67="",$G$67=""),"",MIN($C$46,$G$46,$C$67,$G$67))</f>
        <v/>
      </c>
      <c r="H28" s="75" t="str">
        <f>IF(AND(D46="",$H$46="",$D$67="",$H$67=""),"",MIN($D$46,$H$46,$D$67,$H$67))</f>
        <v/>
      </c>
    </row>
    <row r="29" spans="1:15" ht="15" customHeight="1" x14ac:dyDescent="0.35">
      <c r="A29" s="42"/>
      <c r="B29" s="54" t="s">
        <v>53</v>
      </c>
      <c r="C29" s="41" t="s">
        <v>104</v>
      </c>
      <c r="D29" s="149" t="s">
        <v>104</v>
      </c>
      <c r="E29" s="43"/>
      <c r="F29" s="54" t="s">
        <v>64</v>
      </c>
      <c r="G29" s="75" t="str">
        <f>IF(AND($C$47="",$G$47="",$C$68="",$G$68=""),"",MAX($C$47,$G$47,$C$68,$G$68))</f>
        <v/>
      </c>
      <c r="H29" s="75" t="str">
        <f>IF(AND($D$47="",$H$47="",$D$68="",$H$68=""),"",MAX($D$47,$H$47,$D$68,$H$68))</f>
        <v/>
      </c>
    </row>
    <row r="30" spans="1:15" ht="15" customHeight="1" x14ac:dyDescent="0.35">
      <c r="A30" s="42"/>
      <c r="B30" s="54" t="s">
        <v>55</v>
      </c>
      <c r="C30" s="41" t="s">
        <v>104</v>
      </c>
      <c r="D30" s="149" t="s">
        <v>104</v>
      </c>
      <c r="E30" s="43"/>
      <c r="F30" s="119" t="s">
        <v>66</v>
      </c>
      <c r="G30" s="120" t="str">
        <f>IF(VLOOKUP($C$140,MeasureConfidence[[#All],[Confidence Score]:[Cross Ref]],2,FALSE)=0,"",VLOOKUP($C$140,MeasureConfidence[[#All],[Confidence Score]:[Cross Ref]],2,FALSE))</f>
        <v/>
      </c>
      <c r="H30" s="120" t="str">
        <f>IF(VLOOKUP($G$140,MeasureConfidence[[#All],[Confidence Score]:[Cross Ref]],2,FALSE)=0,"",VLOOKUP($G$140,MeasureConfidence[[#All],[Confidence Score]:[Cross Ref]],2,FALSE))</f>
        <v/>
      </c>
    </row>
    <row r="31" spans="1:15" ht="15" customHeight="1" x14ac:dyDescent="0.35">
      <c r="A31" s="42"/>
      <c r="B31" s="54" t="s">
        <v>57</v>
      </c>
      <c r="C31" s="41" t="s">
        <v>104</v>
      </c>
      <c r="D31" s="149" t="s">
        <v>104</v>
      </c>
      <c r="E31" s="43"/>
      <c r="F31" s="43"/>
      <c r="G31" s="147"/>
      <c r="H31" s="147"/>
    </row>
    <row r="32" spans="1:15" ht="15" customHeight="1" x14ac:dyDescent="0.35">
      <c r="A32" s="42"/>
      <c r="B32" s="74" t="s">
        <v>59</v>
      </c>
      <c r="C32" s="84" t="s">
        <v>104</v>
      </c>
      <c r="D32" s="155" t="s">
        <v>104</v>
      </c>
      <c r="E32" s="43"/>
      <c r="F32" s="43"/>
      <c r="G32" s="147"/>
      <c r="H32" s="147"/>
    </row>
    <row r="33" spans="1:8" ht="15" customHeight="1" x14ac:dyDescent="0.35">
      <c r="A33" s="42"/>
      <c r="B33" s="52"/>
      <c r="C33" s="147"/>
      <c r="D33" s="147"/>
      <c r="E33" s="43"/>
      <c r="F33" s="43"/>
      <c r="G33" s="147"/>
      <c r="H33" s="147"/>
    </row>
    <row r="34" spans="1:8" ht="15" customHeight="1" x14ac:dyDescent="0.35">
      <c r="A34" s="42"/>
      <c r="B34" s="47" t="s">
        <v>115</v>
      </c>
      <c r="C34" s="195"/>
      <c r="D34" s="154" t="s">
        <v>106</v>
      </c>
      <c r="E34" s="43"/>
      <c r="F34" s="47" t="s">
        <v>116</v>
      </c>
      <c r="G34" s="195"/>
      <c r="H34" s="148" t="s">
        <v>106</v>
      </c>
    </row>
    <row r="35" spans="1:8" ht="15" customHeight="1" x14ac:dyDescent="0.35">
      <c r="A35" s="42"/>
      <c r="B35" s="54" t="s">
        <v>69</v>
      </c>
      <c r="C35" s="76" t="str">
        <f>IF(AND(LEFT($C$10, 4)="INV-", ISNUMBER(VALUE(MID($C$10, 5, LEN($C$10)-4))), $C$36&lt;&gt;""), $C$10 &amp; "-" &amp; VLOOKUP("Benefit Profile 4", BenefitNumbering[#All], 2, FALSE) &amp; "-1", "")</f>
        <v/>
      </c>
      <c r="D35" s="76" t="str">
        <f>IF(AND(LEFT($C$10, 4)="INV-", ISNUMBER(VALUE(MID($C$10, 5, LEN($C$10)-4))), $D$36&lt;&gt;""), $C$10 &amp; "-" &amp; VLOOKUP("Benefit Profile 4", BenefitNumberingVar[#All], 2, FALSE) &amp; "-1", "")</f>
        <v/>
      </c>
      <c r="E35" s="43"/>
      <c r="F35" s="54" t="s">
        <v>69</v>
      </c>
      <c r="G35" s="76" t="str">
        <f>IF(AND(LEFT($C$10, 4)="INV-", ISNUMBER(VALUE(MID($C$10, 5, LEN($C$10)-4))), $G$36&lt;&gt;""), $C$10 &amp; "-" &amp; VLOOKUP("Benefit Profile 4", BenefitNumbering[#All], 2, FALSE) &amp; "-2", "")</f>
        <v/>
      </c>
      <c r="H35" s="76" t="str">
        <f>IF(AND(LEFT($C$10, 4)="INV-", ISNUMBER(VALUE(MID($C$10, 5, LEN($C$10)-4))), $H$36&lt;&gt;""), $C$10 &amp; "-" &amp; VLOOKUP("Benefit Profile 4", BenefitNumberingVar[#All], 2, FALSE) &amp; "-2", "")</f>
        <v/>
      </c>
    </row>
    <row r="36" spans="1:8" ht="15" customHeight="1" x14ac:dyDescent="0.35">
      <c r="A36" s="42"/>
      <c r="B36" s="54" t="s">
        <v>117</v>
      </c>
      <c r="C36" s="169"/>
      <c r="D36" s="143"/>
      <c r="E36" s="43"/>
      <c r="F36" s="54" t="s">
        <v>117</v>
      </c>
      <c r="G36" s="169"/>
      <c r="H36" s="143"/>
    </row>
    <row r="37" spans="1:8" ht="15" customHeight="1" x14ac:dyDescent="0.35">
      <c r="A37" s="42"/>
      <c r="B37" s="54" t="s">
        <v>72</v>
      </c>
      <c r="C37" s="169"/>
      <c r="D37" s="143"/>
      <c r="E37" s="43"/>
      <c r="F37" s="54" t="s">
        <v>72</v>
      </c>
      <c r="G37" s="169"/>
      <c r="H37" s="143"/>
    </row>
    <row r="38" spans="1:8" ht="15" customHeight="1" x14ac:dyDescent="0.35">
      <c r="A38" s="42"/>
      <c r="B38" s="115" t="s">
        <v>74</v>
      </c>
      <c r="C38" s="169"/>
      <c r="D38" s="143"/>
      <c r="E38" s="43"/>
      <c r="F38" s="54" t="s">
        <v>74</v>
      </c>
      <c r="G38" s="169"/>
      <c r="H38" s="143"/>
    </row>
    <row r="39" spans="1:8" ht="15" customHeight="1" x14ac:dyDescent="0.35">
      <c r="A39" s="42"/>
      <c r="B39" s="54" t="s">
        <v>76</v>
      </c>
      <c r="C39" s="169"/>
      <c r="D39" s="143"/>
      <c r="E39" s="43"/>
      <c r="F39" s="54" t="s">
        <v>76</v>
      </c>
      <c r="G39" s="169"/>
      <c r="H39" s="143"/>
    </row>
    <row r="40" spans="1:8" ht="15" customHeight="1" x14ac:dyDescent="0.35">
      <c r="A40" s="42"/>
      <c r="B40" s="54" t="s">
        <v>78</v>
      </c>
      <c r="C40" s="169"/>
      <c r="D40" s="143"/>
      <c r="E40" s="43"/>
      <c r="F40" s="54" t="s">
        <v>78</v>
      </c>
      <c r="G40" s="169"/>
      <c r="H40" s="143"/>
    </row>
    <row r="41" spans="1:8" ht="15" customHeight="1" x14ac:dyDescent="0.35">
      <c r="A41" s="42"/>
      <c r="B41" s="115" t="s">
        <v>439</v>
      </c>
      <c r="C41" s="169" t="s">
        <v>104</v>
      </c>
      <c r="D41" s="143" t="s">
        <v>104</v>
      </c>
      <c r="E41" s="43"/>
      <c r="F41" s="115" t="s">
        <v>439</v>
      </c>
      <c r="G41" s="169" t="s">
        <v>104</v>
      </c>
      <c r="H41" s="143"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438</v>
      </c>
      <c r="C45" s="116">
        <f>C44-C43</f>
        <v>0</v>
      </c>
      <c r="D45" s="116">
        <f>D44-D43</f>
        <v>0</v>
      </c>
      <c r="E45" s="43"/>
      <c r="F45" s="54" t="s">
        <v>438</v>
      </c>
      <c r="G45" s="116">
        <f>G44-G43</f>
        <v>0</v>
      </c>
      <c r="H45" s="116">
        <f>H44-H43</f>
        <v>0</v>
      </c>
    </row>
    <row r="46" spans="1:8" ht="15" customHeight="1" x14ac:dyDescent="0.35">
      <c r="A46" s="42"/>
      <c r="B46" s="54" t="s">
        <v>119</v>
      </c>
      <c r="C46" s="171"/>
      <c r="D46" s="132"/>
      <c r="E46" s="43"/>
      <c r="F46" s="54" t="s">
        <v>119</v>
      </c>
      <c r="G46" s="171"/>
      <c r="H46" s="132"/>
    </row>
    <row r="47" spans="1:8" ht="15" customHeight="1" x14ac:dyDescent="0.35">
      <c r="A47" s="42"/>
      <c r="B47" s="54" t="s">
        <v>120</v>
      </c>
      <c r="C47" s="171"/>
      <c r="D47" s="132"/>
      <c r="E47" s="43"/>
      <c r="F47" s="54" t="s">
        <v>120</v>
      </c>
      <c r="G47" s="171"/>
      <c r="H47" s="132"/>
    </row>
    <row r="48" spans="1:8" ht="15" customHeight="1" x14ac:dyDescent="0.35">
      <c r="A48" s="42"/>
      <c r="B48" s="54" t="s">
        <v>121</v>
      </c>
      <c r="C48" s="98"/>
      <c r="D48" s="144"/>
      <c r="E48" s="43"/>
      <c r="F48" s="54" t="s">
        <v>121</v>
      </c>
      <c r="G48" s="98"/>
      <c r="H48" s="144"/>
    </row>
    <row r="49" spans="1:8" ht="15" customHeight="1" x14ac:dyDescent="0.35">
      <c r="A49" s="42"/>
      <c r="B49" s="54" t="s">
        <v>92</v>
      </c>
      <c r="C49" s="81" t="s">
        <v>104</v>
      </c>
      <c r="D49" s="145" t="s">
        <v>104</v>
      </c>
      <c r="E49" s="43"/>
      <c r="F49" s="54" t="s">
        <v>92</v>
      </c>
      <c r="G49" s="81" t="s">
        <v>104</v>
      </c>
      <c r="H49" s="145"/>
    </row>
    <row r="50" spans="1:8" ht="15" customHeight="1" x14ac:dyDescent="0.35">
      <c r="A50" s="42"/>
      <c r="B50" s="54" t="s">
        <v>98</v>
      </c>
      <c r="C50" s="82"/>
      <c r="D50" s="145"/>
      <c r="E50" s="43"/>
      <c r="F50" s="54" t="s">
        <v>98</v>
      </c>
      <c r="G50" s="82"/>
      <c r="H50" s="145"/>
    </row>
    <row r="51" spans="1:8" ht="15" customHeight="1" x14ac:dyDescent="0.35">
      <c r="A51" s="42"/>
      <c r="B51" s="54" t="s">
        <v>94</v>
      </c>
      <c r="C51" s="82"/>
      <c r="D51" s="145"/>
      <c r="E51" s="43"/>
      <c r="F51" s="54" t="s">
        <v>94</v>
      </c>
      <c r="G51" s="82"/>
      <c r="H51" s="145"/>
    </row>
    <row r="52" spans="1:8" ht="15" customHeight="1" x14ac:dyDescent="0.35">
      <c r="A52" s="42"/>
      <c r="B52" s="54" t="s">
        <v>96</v>
      </c>
      <c r="C52" s="82"/>
      <c r="D52" s="146"/>
      <c r="E52" s="43"/>
      <c r="F52" s="54" t="s">
        <v>96</v>
      </c>
      <c r="G52" s="82"/>
      <c r="H52" s="146"/>
    </row>
    <row r="53" spans="1:8" ht="15" customHeight="1" x14ac:dyDescent="0.35">
      <c r="A53" s="42"/>
      <c r="B53" s="77" t="s">
        <v>100</v>
      </c>
      <c r="C53" s="83" t="s">
        <v>104</v>
      </c>
      <c r="D53" s="188" t="s">
        <v>104</v>
      </c>
      <c r="E53" s="43"/>
      <c r="F53" s="77" t="s">
        <v>100</v>
      </c>
      <c r="G53" s="83" t="s">
        <v>104</v>
      </c>
      <c r="H53" s="188" t="s">
        <v>104</v>
      </c>
    </row>
    <row r="54" spans="1:8" ht="15" customHeight="1" x14ac:dyDescent="0.35">
      <c r="A54" s="42"/>
      <c r="B54" s="52"/>
      <c r="C54" s="147"/>
      <c r="D54" s="147"/>
      <c r="E54" s="43"/>
      <c r="F54" s="43"/>
      <c r="G54" s="147"/>
      <c r="H54" s="147"/>
    </row>
    <row r="55" spans="1:8" ht="15" customHeight="1" x14ac:dyDescent="0.35">
      <c r="A55" s="42"/>
      <c r="B55" s="47" t="s">
        <v>122</v>
      </c>
      <c r="C55" s="195"/>
      <c r="D55" s="148" t="s">
        <v>106</v>
      </c>
      <c r="E55" s="43"/>
      <c r="F55" s="47" t="s">
        <v>123</v>
      </c>
      <c r="G55" s="195"/>
      <c r="H55" s="148" t="s">
        <v>106</v>
      </c>
    </row>
    <row r="56" spans="1:8" ht="15" customHeight="1" x14ac:dyDescent="0.35">
      <c r="A56" s="42"/>
      <c r="B56" s="54" t="s">
        <v>69</v>
      </c>
      <c r="C56" s="76" t="str">
        <f>IF(AND(LEFT($C$10, 4)="INV-", ISNUMBER(VALUE(MID($C$10, 5, LEN($C$10)-4))), $C$57&lt;&gt;""), $C$10 &amp; "-" &amp; VLOOKUP("Benefit Profile 4", BenefitNumbering[#All], 2, FALSE) &amp; "-3", "")</f>
        <v/>
      </c>
      <c r="D56" s="76" t="str">
        <f>IF(AND(LEFT($C$10, 4)="INV-", ISNUMBER(VALUE(MID($C$10, 5, LEN($C$10)-4))), $D$57&lt;&gt;""), $C$10 &amp; "-" &amp; VLOOKUP("Benefit Profile 4", BenefitNumberingVar[#All], 2, FALSE) &amp; "-3", "")</f>
        <v/>
      </c>
      <c r="E56" s="43"/>
      <c r="F56" s="54" t="s">
        <v>69</v>
      </c>
      <c r="G56" s="76" t="str">
        <f>IF(AND(LEFT($C$10, 4)="INV-", ISNUMBER(VALUE(MID($C$10, 5, LEN($C$10)-4))), $G$57&lt;&gt;""), $C$10 &amp; "-" &amp; VLOOKUP("Benefit Profile 4", BenefitNumbering[#All], 2, FALSE) &amp; "-4", "")</f>
        <v/>
      </c>
      <c r="H56" s="76" t="str">
        <f>IF(AND(LEFT($C$10, 4)="INV-", ISNUMBER(VALUE(MID($C$10, 5, LEN($C$10)-4))), $H$57&lt;&gt;""), $C$10 &amp; "-" &amp; VLOOKUP("Benefit Profile 4", BenefitNumberingVar[#All], 2, FALSE) &amp; "-4", "")</f>
        <v/>
      </c>
    </row>
    <row r="57" spans="1:8" ht="15" customHeight="1" x14ac:dyDescent="0.35">
      <c r="A57" s="55"/>
      <c r="B57" s="54" t="s">
        <v>117</v>
      </c>
      <c r="C57" s="169"/>
      <c r="D57" s="143"/>
      <c r="E57" s="78"/>
      <c r="F57" s="54" t="s">
        <v>117</v>
      </c>
      <c r="G57" s="169"/>
      <c r="H57" s="143"/>
    </row>
    <row r="58" spans="1:8" ht="15" customHeight="1" x14ac:dyDescent="0.35">
      <c r="A58" s="55"/>
      <c r="B58" s="54" t="s">
        <v>72</v>
      </c>
      <c r="C58" s="169"/>
      <c r="D58" s="143"/>
      <c r="E58" s="43"/>
      <c r="F58" s="54" t="s">
        <v>72</v>
      </c>
      <c r="G58" s="169"/>
      <c r="H58" s="143"/>
    </row>
    <row r="59" spans="1:8" ht="15" customHeight="1" x14ac:dyDescent="0.35">
      <c r="A59" s="55"/>
      <c r="B59" s="54" t="s">
        <v>74</v>
      </c>
      <c r="C59" s="169"/>
      <c r="D59" s="143"/>
      <c r="E59" s="43"/>
      <c r="F59" s="54" t="s">
        <v>74</v>
      </c>
      <c r="G59" s="169"/>
      <c r="H59" s="143"/>
    </row>
    <row r="60" spans="1:8" ht="15" customHeight="1" x14ac:dyDescent="0.35">
      <c r="A60" s="55"/>
      <c r="B60" s="54" t="s">
        <v>76</v>
      </c>
      <c r="C60" s="169"/>
      <c r="D60" s="143"/>
      <c r="E60" s="43"/>
      <c r="F60" s="54" t="s">
        <v>76</v>
      </c>
      <c r="G60" s="169"/>
      <c r="H60" s="143"/>
    </row>
    <row r="61" spans="1:8" ht="15" customHeight="1" x14ac:dyDescent="0.35">
      <c r="A61" s="55"/>
      <c r="B61" s="54" t="s">
        <v>78</v>
      </c>
      <c r="C61" s="169"/>
      <c r="D61" s="143"/>
      <c r="E61" s="43"/>
      <c r="F61" s="54" t="s">
        <v>78</v>
      </c>
      <c r="G61" s="169"/>
      <c r="H61" s="143"/>
    </row>
    <row r="62" spans="1:8" ht="15" customHeight="1" x14ac:dyDescent="0.35">
      <c r="A62" s="55"/>
      <c r="B62" s="115" t="s">
        <v>439</v>
      </c>
      <c r="C62" s="169" t="s">
        <v>104</v>
      </c>
      <c r="D62" s="143" t="s">
        <v>104</v>
      </c>
      <c r="E62" s="43"/>
      <c r="F62" s="115" t="s">
        <v>439</v>
      </c>
      <c r="G62" s="169" t="s">
        <v>104</v>
      </c>
      <c r="H62" s="143" t="s">
        <v>104</v>
      </c>
    </row>
    <row r="63" spans="1:8" ht="15" customHeight="1" x14ac:dyDescent="0.35">
      <c r="A63" s="55"/>
      <c r="B63" s="54" t="s">
        <v>118</v>
      </c>
      <c r="C63" s="171"/>
      <c r="D63" s="132"/>
      <c r="E63" s="43"/>
      <c r="F63" s="54" t="s">
        <v>118</v>
      </c>
      <c r="G63" s="171"/>
      <c r="H63" s="132"/>
    </row>
    <row r="64" spans="1:8" ht="15" customHeight="1" x14ac:dyDescent="0.35">
      <c r="A64" s="55"/>
      <c r="B64" s="54" t="s">
        <v>82</v>
      </c>
      <c r="C64" s="157"/>
      <c r="D64" s="133"/>
      <c r="E64" s="43"/>
      <c r="F64" s="54" t="s">
        <v>82</v>
      </c>
      <c r="G64" s="157"/>
      <c r="H64" s="133"/>
    </row>
    <row r="65" spans="1:8" ht="15" customHeight="1" x14ac:dyDescent="0.35">
      <c r="A65" s="55"/>
      <c r="B65" s="54" t="s">
        <v>84</v>
      </c>
      <c r="C65" s="157"/>
      <c r="D65" s="133"/>
      <c r="E65" s="43"/>
      <c r="F65" s="54" t="s">
        <v>84</v>
      </c>
      <c r="G65" s="157"/>
      <c r="H65" s="133"/>
    </row>
    <row r="66" spans="1:8" ht="15" customHeight="1" x14ac:dyDescent="0.35">
      <c r="A66" s="55"/>
      <c r="B66" s="54" t="s">
        <v>438</v>
      </c>
      <c r="C66" s="116">
        <f>C65-C64</f>
        <v>0</v>
      </c>
      <c r="D66" s="116">
        <f>D65-D64</f>
        <v>0</v>
      </c>
      <c r="E66" s="43"/>
      <c r="F66" s="54" t="s">
        <v>438</v>
      </c>
      <c r="G66" s="116">
        <f>G65-G64</f>
        <v>0</v>
      </c>
      <c r="H66" s="116">
        <f>H65-H64</f>
        <v>0</v>
      </c>
    </row>
    <row r="67" spans="1:8" ht="15" customHeight="1" x14ac:dyDescent="0.35">
      <c r="A67" s="55"/>
      <c r="B67" s="54" t="s">
        <v>119</v>
      </c>
      <c r="C67" s="171"/>
      <c r="D67" s="132"/>
      <c r="E67" s="43"/>
      <c r="F67" s="54" t="s">
        <v>119</v>
      </c>
      <c r="G67" s="171"/>
      <c r="H67" s="132"/>
    </row>
    <row r="68" spans="1:8" ht="15" customHeight="1" x14ac:dyDescent="0.35">
      <c r="A68" s="55"/>
      <c r="B68" s="54" t="s">
        <v>120</v>
      </c>
      <c r="C68" s="171"/>
      <c r="D68" s="132"/>
      <c r="E68" s="43"/>
      <c r="F68" s="54" t="s">
        <v>120</v>
      </c>
      <c r="G68" s="171"/>
      <c r="H68" s="132"/>
    </row>
    <row r="69" spans="1:8" ht="15" customHeight="1" x14ac:dyDescent="0.35">
      <c r="A69" s="55"/>
      <c r="B69" s="54" t="s">
        <v>121</v>
      </c>
      <c r="C69" s="98"/>
      <c r="D69" s="144"/>
      <c r="E69" s="43"/>
      <c r="F69" s="54" t="s">
        <v>121</v>
      </c>
      <c r="G69" s="98"/>
      <c r="H69" s="144"/>
    </row>
    <row r="70" spans="1:8" ht="15" customHeight="1" x14ac:dyDescent="0.35">
      <c r="A70" s="55"/>
      <c r="B70" s="54" t="s">
        <v>92</v>
      </c>
      <c r="C70" s="81" t="s">
        <v>104</v>
      </c>
      <c r="D70" s="145" t="s">
        <v>104</v>
      </c>
      <c r="E70" s="43"/>
      <c r="F70" s="54" t="s">
        <v>92</v>
      </c>
      <c r="G70" s="81" t="s">
        <v>104</v>
      </c>
      <c r="H70" s="145" t="s">
        <v>104</v>
      </c>
    </row>
    <row r="71" spans="1:8" ht="15" customHeight="1" x14ac:dyDescent="0.35">
      <c r="A71" s="55"/>
      <c r="B71" s="54" t="s">
        <v>98</v>
      </c>
      <c r="C71" s="82"/>
      <c r="D71" s="145"/>
      <c r="E71" s="43"/>
      <c r="F71" s="54" t="s">
        <v>98</v>
      </c>
      <c r="G71" s="82"/>
      <c r="H71" s="145"/>
    </row>
    <row r="72" spans="1:8" ht="15" customHeight="1" x14ac:dyDescent="0.35">
      <c r="A72" s="55"/>
      <c r="B72" s="54" t="s">
        <v>94</v>
      </c>
      <c r="C72" s="82"/>
      <c r="D72" s="145"/>
      <c r="E72" s="43"/>
      <c r="F72" s="54" t="s">
        <v>94</v>
      </c>
      <c r="G72" s="82"/>
      <c r="H72" s="145"/>
    </row>
    <row r="73" spans="1:8" ht="15" customHeight="1" x14ac:dyDescent="0.35">
      <c r="A73" s="55"/>
      <c r="B73" s="54" t="s">
        <v>96</v>
      </c>
      <c r="C73" s="82"/>
      <c r="D73" s="146"/>
      <c r="E73" s="43"/>
      <c r="F73" s="54" t="s">
        <v>96</v>
      </c>
      <c r="G73" s="82"/>
      <c r="H73" s="146"/>
    </row>
    <row r="74" spans="1:8" ht="15" customHeight="1" x14ac:dyDescent="0.35">
      <c r="A74" s="55"/>
      <c r="B74" s="77" t="s">
        <v>100</v>
      </c>
      <c r="C74" s="83" t="s">
        <v>104</v>
      </c>
      <c r="D74" s="188" t="s">
        <v>104</v>
      </c>
      <c r="E74" s="43"/>
      <c r="F74" s="77" t="s">
        <v>100</v>
      </c>
      <c r="G74" s="83" t="s">
        <v>104</v>
      </c>
      <c r="H74" s="188" t="s">
        <v>104</v>
      </c>
    </row>
    <row r="75" spans="1:8" ht="15" customHeight="1" x14ac:dyDescent="0.35"/>
    <row r="76" spans="1:8" ht="15" customHeight="1" x14ac:dyDescent="0.35"/>
    <row r="77" spans="1:8" ht="15" customHeight="1" x14ac:dyDescent="0.35"/>
    <row r="78" spans="1:8" ht="15" customHeight="1" x14ac:dyDescent="0.35">
      <c r="B78" s="239" t="s">
        <v>124</v>
      </c>
      <c r="C78" s="240"/>
    </row>
    <row r="79" spans="1:8" ht="15" customHeight="1" x14ac:dyDescent="0.35">
      <c r="B79" s="21" t="s">
        <v>125</v>
      </c>
      <c r="C79" s="20"/>
    </row>
    <row r="80" spans="1:8" ht="15" customHeight="1" x14ac:dyDescent="0.35">
      <c r="B80" s="21" t="s">
        <v>126</v>
      </c>
      <c r="C80" s="20"/>
    </row>
    <row r="81" spans="2:3" ht="15" customHeight="1" x14ac:dyDescent="0.35">
      <c r="B81" s="21" t="s">
        <v>127</v>
      </c>
      <c r="C81" s="22"/>
    </row>
    <row r="82" spans="2:3" ht="15" customHeight="1" x14ac:dyDescent="0.35">
      <c r="B82" s="21" t="s">
        <v>128</v>
      </c>
      <c r="C82" s="22"/>
    </row>
    <row r="83" spans="2:3" ht="15" customHeight="1" x14ac:dyDescent="0.35">
      <c r="B83" s="23" t="s">
        <v>129</v>
      </c>
      <c r="C83" s="24"/>
    </row>
    <row r="131" spans="2:7" hidden="1" x14ac:dyDescent="0.35"/>
    <row r="132" spans="2:7" hidden="1" x14ac:dyDescent="0.35"/>
    <row r="133" spans="2:7" hidden="1" x14ac:dyDescent="0.35">
      <c r="B133" s="29" t="s">
        <v>130</v>
      </c>
      <c r="C133" s="196">
        <f>_xlfn.IFNA(VLOOKUP($C$53,MeasureConfidence[[#All],[Measure Confidence Level]:[Confidence Score]],2,FALSE),0)</f>
        <v>0</v>
      </c>
      <c r="F133" s="58" t="s">
        <v>131</v>
      </c>
      <c r="G133" s="196">
        <f>_xlfn.IFNA(VLOOKUP($D$53,MeasureConfidence[[#All],[Measure Confidence Level]:[Confidence Score]],2,FALSE),0)</f>
        <v>0</v>
      </c>
    </row>
    <row r="134" spans="2:7" hidden="1" x14ac:dyDescent="0.35">
      <c r="B134" s="29" t="s">
        <v>132</v>
      </c>
      <c r="C134" s="196">
        <f>_xlfn.IFNA(VLOOKUP($G$53,MeasureConfidence[[#All],[Measure Confidence Level]:[Confidence Score]],2,FALSE),0)</f>
        <v>0</v>
      </c>
      <c r="F134" s="58" t="s">
        <v>133</v>
      </c>
      <c r="G134" s="196">
        <f>_xlfn.IFNA(VLOOKUP($H$53,MeasureConfidence[[#All],[Measure Confidence Level]:[Confidence Score]],2,FALSE),0)</f>
        <v>0</v>
      </c>
    </row>
    <row r="135" spans="2:7" hidden="1" x14ac:dyDescent="0.35">
      <c r="B135" s="29" t="s">
        <v>134</v>
      </c>
      <c r="C135" s="196">
        <f>_xlfn.IFNA(VLOOKUP($C$74,MeasureConfidence[[#All],[Measure Confidence Level]:[Confidence Score]],2,FALSE),0)</f>
        <v>0</v>
      </c>
      <c r="F135" s="58" t="s">
        <v>135</v>
      </c>
      <c r="G135" s="196">
        <f>_xlfn.IFNA(VLOOKUP($D$74,MeasureConfidence[[#All],[Measure Confidence Level]:[Confidence Score]],2,FALSE),0)</f>
        <v>0</v>
      </c>
    </row>
    <row r="136" spans="2:7" hidden="1" x14ac:dyDescent="0.35">
      <c r="B136" s="29" t="s">
        <v>136</v>
      </c>
      <c r="C136" s="196">
        <f>_xlfn.IFNA(VLOOKUP($G$74,MeasureConfidence[[#All],[Measure Confidence Level]:[Confidence Score]],2,FALSE),0)</f>
        <v>0</v>
      </c>
      <c r="F136" s="58" t="s">
        <v>137</v>
      </c>
      <c r="G136" s="196">
        <f>_xlfn.IFNA(VLOOKUP($H$74,MeasureConfidence[[#All],[Measure Confidence Level]:[Confidence Score]],2,FALSE),0)</f>
        <v>0</v>
      </c>
    </row>
    <row r="137" spans="2:7" hidden="1" x14ac:dyDescent="0.35">
      <c r="B137" s="29"/>
      <c r="C137" s="196"/>
      <c r="F137" s="58"/>
      <c r="G137" s="196"/>
    </row>
    <row r="138" spans="2:7" hidden="1" x14ac:dyDescent="0.35">
      <c r="B138" s="29" t="s">
        <v>138</v>
      </c>
      <c r="C138" s="196" t="e">
        <f>ROUND(AVERAGEIF(C133:C136,"&gt;0"),0)</f>
        <v>#DIV/0!</v>
      </c>
      <c r="F138" s="58" t="s">
        <v>138</v>
      </c>
      <c r="G138" s="196" t="e">
        <f>ROUND(AVERAGEIF(G133:G136,"&gt;0"),0)</f>
        <v>#DIV/0!</v>
      </c>
    </row>
    <row r="139" spans="2:7" hidden="1" x14ac:dyDescent="0.35">
      <c r="B139" s="29"/>
      <c r="C139" s="196"/>
      <c r="F139" s="58"/>
      <c r="G139" s="196"/>
    </row>
    <row r="140" spans="2:7" hidden="1" x14ac:dyDescent="0.35">
      <c r="B140" s="29" t="s">
        <v>139</v>
      </c>
      <c r="C140" s="196">
        <f>_xlfn.MINIFS(C133:C136,C133:C136,"&gt;0")</f>
        <v>0</v>
      </c>
      <c r="F140" s="58" t="s">
        <v>139</v>
      </c>
      <c r="G140" s="196">
        <f>_xlfn.MINIFS(G133:G136,G133:G136,"&gt;0")</f>
        <v>0</v>
      </c>
    </row>
    <row r="141" spans="2:7" hidden="1" x14ac:dyDescent="0.35"/>
    <row r="142" spans="2:7" hidden="1" x14ac:dyDescent="0.35"/>
    <row r="143" spans="2:7" hidden="1" x14ac:dyDescent="0.35"/>
    <row r="144" spans="2:7" hidden="1" x14ac:dyDescent="0.35"/>
  </sheetData>
  <sheetProtection algorithmName="SHA-512" hashValue="CqKOmlaKi7a9yV8fdc9T9bWezi2pufKwGkGoQhdPX1pDViX4Kaj0v6SB/Z9USDqYWndMhpWlJnHHbCr0NQPafA==" saltValue="NIvG9AGAc80Gej/TZLtiKQ==" spinCount="100000" sheet="1" formatColumns="0" formatRows="0"/>
  <dataConsolidate link="1"/>
  <mergeCells count="7">
    <mergeCell ref="G24:G25"/>
    <mergeCell ref="H24:H25"/>
    <mergeCell ref="B78:C78"/>
    <mergeCell ref="B21:B25"/>
    <mergeCell ref="C21:C25"/>
    <mergeCell ref="D21:D25"/>
    <mergeCell ref="F24:F25"/>
  </mergeCells>
  <dataValidations xWindow="636" yWindow="532" count="25">
    <dataValidation allowBlank="1" showInputMessage="1" showErrorMessage="1" prompt="Automatically populated when the Measure Name's cell is entered/filled" sqref="C35 G35 G56 C56" xr:uid="{5BC7704A-4C37-47C0-89F6-8E2ADB457325}"/>
    <dataValidation type="decimal" operator="greaterThan" allowBlank="1" showInputMessage="1" showErrorMessage="1" error="Numerical value only please" prompt="Numerical value only please" sqref="C43:C44 C64:C65 G43:G44 G64:G65" xr:uid="{DE6D2D59-E176-45BE-A399-A4453EC92052}">
      <formula1>0.0000000000001</formula1>
    </dataValidation>
    <dataValidation type="date" errorStyle="warning" operator="greaterThan" allowBlank="1" showInputMessage="1" showErrorMessage="1" sqref="G21" xr:uid="{19E75F50-2683-4799-8F53-15BBB8B36609}">
      <formula1>36526</formula1>
    </dataValidation>
    <dataValidation operator="greaterThanOrEqual" allowBlank="1" showInputMessage="1" showErrorMessage="1" sqref="C40" xr:uid="{C1D71656-25EC-4B3F-8D3F-8D0A8EA29987}"/>
    <dataValidation allowBlank="1" showInputMessage="1" showErrorMessage="1" prompt="Automatically populated based on the latest Realisation End Date of the Measure/KPI date." sqref="G29" xr:uid="{B06C6F6C-26AC-438B-905E-62409FB8CE42}"/>
    <dataValidation allowBlank="1" showInputMessage="1" showErrorMessage="1" prompt="Automatically populated based on the earliest Realisation Start Date of the Measure/KPI date." sqref="G28" xr:uid="{C3E9D4C7-DBF5-4EFD-9C1A-BB4952E55AFF}"/>
    <dataValidation allowBlank="1" showInputMessage="1" showErrorMessage="1" prompt="Automatically calculated based on the lowest Benefit Confidence Level of the Measures/KPIs." sqref="G30" xr:uid="{7830F4DC-F7FE-4BAA-AE50-BFCC4E07ABF5}"/>
    <dataValidation type="decimal" allowBlank="1" showInputMessage="1" showErrorMessage="1" sqref="C48 G48 C69 G69" xr:uid="{D6B1F4F2-6190-4B91-BBCD-3AEFB9BC4B71}">
      <formula1>0</formula1>
      <formula2>1</formula2>
    </dataValidation>
    <dataValidation type="decimal" errorStyle="warning" allowBlank="1" showInputMessage="1" showErrorMessage="1" sqref="H48 D69 D48 H69" xr:uid="{54B5B279-EB3D-4C92-8F34-11636C5AE61E}">
      <formula1>0</formula1>
      <formula2>1</formula2>
    </dataValidation>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6:D47 C79:C80 G63:H63 C42:D42 G46:H47 C67:D68 G67:H68 C63:D63 G42:H42" xr:uid="{B9A33218-761F-4498-A44F-D98D215BFAEA}">
      <formula1>1</formula1>
    </dataValidation>
    <dataValidation type="date" operator="greaterThan" allowBlank="1" showInputMessage="1" showErrorMessage="1" sqref="G23" xr:uid="{E60E8A3C-F8A5-4992-8238-4B2E39F90533}">
      <formula1>36526</formula1>
    </dataValidation>
    <dataValidation errorStyle="information" allowBlank="1" showInputMessage="1" showErrorMessage="1" sqref="G22" xr:uid="{D1A76471-35ED-4F03-9A51-F6486BA7B534}"/>
    <dataValidation allowBlank="1" showInputMessage="1" showErrorMessage="1" prompt="DTA numbering system. Automatically populated when the DTA Investment ID is filled." sqref="C18" xr:uid="{BA99F434-CE53-458D-8EA1-A98B18A1BBFA}"/>
    <dataValidation allowBlank="1" showInputMessage="1" showErrorMessage="1" prompt="Benefit Endorsement fields will be automatically filled from Benefit Profile 1, except for date fields. _x000a_Please change if different." sqref="G18" xr:uid="{877CD2C9-D9B0-4847-88AB-6CA5D8438860}"/>
    <dataValidation type="list" allowBlank="1" showInputMessage="1" showErrorMessage="1" sqref="C29" xr:uid="{C314CE88-3517-4F07-97CB-69D7D6BB0C73}">
      <formula1>"Please select, Benefit, Disbenefit"</formula1>
    </dataValidation>
    <dataValidation type="list" allowBlank="1" showInputMessage="1" showErrorMessage="1" sqref="C28" xr:uid="{92B9B69A-6933-405C-A21D-CD1B7930C511}">
      <formula1>"Please select, Financial - Cashable, Financial - Non-Cashable, Non-financial"</formula1>
    </dataValidation>
    <dataValidation type="list" allowBlank="1" showInputMessage="1" showErrorMessage="1" sqref="C32" xr:uid="{4E508040-E8EA-4E1F-9D9F-E6408BC48FF5}">
      <formula1>"Please select, Data and digital foundations, Delivering for all people and business, Government for the future, Simple and seamless services, Trusted and secure"</formula1>
    </dataValidation>
    <dataValidation type="list" allowBlank="1" showInputMessage="1" showErrorMessage="1" sqref="C31" xr:uid="{79D225CC-ACA8-48A0-BEC7-EA095E31EF72}">
      <formula1>"Please select, Agency, Business, Citizen, Government"</formula1>
    </dataValidation>
    <dataValidation type="list" allowBlank="1" showInputMessage="1" showErrorMessage="1" sqref="C49 G49 C70 G70" xr:uid="{7732E0FA-0BF5-495B-97E8-65262CF68FD2}">
      <formula1>"Please select, Weekly, Fortnightly, In planning, Monthly, Quarterly, Biannually, Year (calendar), Year (financial)"</formula1>
    </dataValidation>
    <dataValidation type="decimal" errorStyle="information" operator="lessThan" allowBlank="1" showInputMessage="1" showErrorMessage="1" error="Numerical value only please" prompt="Numerical value only please" sqref="C45:D45 C66:D66 G66:H66" xr:uid="{33B2E310-592D-4835-98B5-0CDF46DB449D}">
      <formula1>0</formula1>
    </dataValidation>
    <dataValidation type="list" operator="greaterThanOrEqual" allowBlank="1" showInputMessage="1" showErrorMessage="1" sqref="C41:D41" xr:uid="{00014067-5E6F-4DAA-B975-742E5E52D410}">
      <formula1>"Please select, Increase, Decrease"</formula1>
    </dataValidation>
    <dataValidation type="list" allowBlank="1" showInputMessage="1" showErrorMessage="1" sqref="G41:H41 C62:D62 G62:H62" xr:uid="{F4AA738C-4BBA-430D-A552-6D507D24C4F7}">
      <formula1>"Please select, Increase, Decrease"</formula1>
    </dataValidation>
    <dataValidation type="decimal" errorStyle="information" operator="greaterThan" allowBlank="1" showInputMessage="1" showErrorMessage="1" error="Numerical value only please" prompt="Numerical value only please" sqref="G45:H45" xr:uid="{9B005FB7-FCD1-45AB-A385-75D5D5B132F2}">
      <formula1>0</formula1>
    </dataValidation>
    <dataValidation allowBlank="1" showInputMessage="1" showErrorMessage="1" prompt="Investment Details - automatically filled from Benefit Profile 1." sqref="C10" xr:uid="{461D5CF5-5C9A-4CD3-B4D8-6A4A912FB2E5}"/>
    <dataValidation type="decimal" operator="greaterThan" allowBlank="1" showInputMessage="1" showErrorMessage="1" sqref="D43:D44 H43:H44 D64:D65 H64:H65" xr:uid="{AD394BAB-42A9-498F-9F9E-AB7C26E16D89}">
      <formula1>0.0000000000001</formula1>
    </dataValidation>
  </dataValidations>
  <printOptions horizontalCentered="1"/>
  <pageMargins left="0" right="0" top="0.74803149606299213" bottom="0.35433070866141736" header="0.31496062992125984" footer="0.31496062992125984"/>
  <pageSetup paperSize="9" scale="71" orientation="portrait" r:id="rId1"/>
  <ignoredErrors>
    <ignoredError sqref="C12:C14 G18:H25" unlockedFormula="1"/>
  </ignoredErrors>
  <drawing r:id="rId2"/>
  <extLst>
    <ext xmlns:x14="http://schemas.microsoft.com/office/spreadsheetml/2009/9/main" uri="{CCE6A557-97BC-4b89-ADB6-D9C93CAAB3DF}">
      <x14:dataValidations xmlns:xm="http://schemas.microsoft.com/office/excel/2006/main" xWindow="636" yWindow="532" count="9">
        <x14:dataValidation type="list" allowBlank="1" showInputMessage="1" showErrorMessage="1" xr:uid="{C4C0D0E8-A40E-472E-8C79-BF0071CF98CF}">
          <x14:formula1>
            <xm:f>'Validation Table'!$D$3:$D$7</xm:f>
          </x14:formula1>
          <xm:sqref>D29</xm:sqref>
        </x14:dataValidation>
        <x14:dataValidation type="list" allowBlank="1" showInputMessage="1" showErrorMessage="1" xr:uid="{9DA4DE0F-9D4C-41C2-B780-A8A1DCA49629}">
          <x14:formula1>
            <xm:f>'Validation Table'!$H$3:$H$11</xm:f>
          </x14:formula1>
          <xm:sqref>D70 H49 D49 H70</xm:sqref>
        </x14:dataValidation>
        <x14:dataValidation type="list" allowBlank="1" showInputMessage="1" showErrorMessage="1" xr:uid="{50FB8EB8-03D3-4D2F-B2F1-A5A4DA87BDF4}">
          <x14:formula1>
            <xm:f>'Validation Table'!$F$3:$F$8</xm:f>
          </x14:formula1>
          <xm:sqref>D32</xm:sqref>
        </x14:dataValidation>
        <x14:dataValidation type="list" allowBlank="1" showInputMessage="1" showErrorMessage="1" xr:uid="{D8ED6882-055A-4E39-BDBE-C301A71AAA9D}">
          <x14:formula1>
            <xm:f>'Validation Table'!$E$3:$E$7</xm:f>
          </x14:formula1>
          <xm:sqref>D31</xm:sqref>
        </x14:dataValidation>
        <x14:dataValidation type="list" allowBlank="1" showInputMessage="1" showErrorMessage="1" xr:uid="{B0F2E43C-B0CB-44D2-BA83-39EA1D8FEB6E}">
          <x14:formula1>
            <xm:f>'Validation Table'!$C$3:$C$17</xm:f>
          </x14:formula1>
          <xm:sqref>C30:D30</xm:sqref>
        </x14:dataValidation>
        <x14:dataValidation type="list" allowBlank="1" showInputMessage="1" showErrorMessage="1" xr:uid="{16CC178C-F853-49E2-9055-2B4D13B295FB}">
          <x14:formula1>
            <xm:f>'Validation Table'!$B$3:$B$6</xm:f>
          </x14:formula1>
          <xm:sqref>D28</xm:sqref>
        </x14:dataValidation>
        <x14:dataValidation type="list" allowBlank="1" showInputMessage="1" showErrorMessage="1" xr:uid="{05012820-2A58-47D9-A0FC-4A75B53E3C69}">
          <x14:formula1>
            <xm:f>'0. PortfolioAgencyLinks'!$T$1:$T$193</xm:f>
          </x14:formula1>
          <xm:sqref>C13:C14</xm:sqref>
        </x14:dataValidation>
        <x14:dataValidation type="list" allowBlank="1" showInputMessage="1" showErrorMessage="1" xr:uid="{4D11D940-A6AE-4CD7-A425-7184EA8037DE}">
          <x14:formula1>
            <xm:f>'Validation Table'!$I$3:$I$8</xm:f>
          </x14:formula1>
          <xm:sqref>C53:D53 G53:H53 C74:D74 G74:H74</xm:sqref>
        </x14:dataValidation>
        <x14:dataValidation type="list" allowBlank="1" showInputMessage="1" showErrorMessage="1" prompt="Agency fields will be automatically filled from Benefit Profile 1. Please change if different." xr:uid="{599BBCD8-54A8-4D0E-88F8-D926FF0E120B}">
          <x14:formula1>
            <xm:f>'0. PortfolioAgencyLinks'!$T$1:$T$193</xm:f>
          </x14:formula1>
          <xm:sqref>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63B0-BC96-41BD-A491-638B4225FE71}">
  <sheetPr>
    <tabColor rgb="FFC8EBD7"/>
    <pageSetUpPr fitToPage="1"/>
  </sheetPr>
  <dimension ref="A1:O152"/>
  <sheetViews>
    <sheetView zoomScale="90" zoomScaleNormal="90" workbookViewId="0">
      <selection activeCell="J12" sqref="J12"/>
    </sheetView>
  </sheetViews>
  <sheetFormatPr defaultColWidth="9.1796875" defaultRowHeight="14.5" outlineLevelCol="1" x14ac:dyDescent="0.35"/>
  <cols>
    <col min="1" max="1" width="2" style="3" customWidth="1"/>
    <col min="2" max="2" width="45.7265625" style="3" customWidth="1"/>
    <col min="3" max="3" width="45.7265625" style="71" customWidth="1"/>
    <col min="4" max="4" width="45.7265625" style="186" hidden="1" customWidth="1" outlineLevel="1"/>
    <col min="5" max="5" width="5.7265625" style="3" customWidth="1" collapsed="1"/>
    <col min="6" max="6" width="45.7265625" style="55" customWidth="1"/>
    <col min="7" max="7" width="45.7265625" style="71" customWidth="1"/>
    <col min="8" max="8" width="45.7265625" style="186"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66"/>
      <c r="D1" s="66"/>
      <c r="E1" s="42"/>
      <c r="F1" s="42"/>
      <c r="G1" s="66"/>
      <c r="H1" s="66"/>
    </row>
    <row r="2" spans="1:15" x14ac:dyDescent="0.35">
      <c r="A2" s="42"/>
      <c r="B2" s="42"/>
      <c r="C2" s="66"/>
      <c r="D2" s="66"/>
      <c r="E2" s="42"/>
      <c r="F2" s="42"/>
      <c r="G2" s="66"/>
      <c r="H2" s="66"/>
    </row>
    <row r="3" spans="1:15" x14ac:dyDescent="0.35">
      <c r="A3" s="42"/>
      <c r="B3" s="42"/>
      <c r="C3" s="66"/>
      <c r="D3" s="66"/>
      <c r="E3" s="42"/>
      <c r="F3" s="42"/>
      <c r="G3" s="66"/>
      <c r="H3" s="66"/>
    </row>
    <row r="4" spans="1:15" ht="42" customHeight="1" x14ac:dyDescent="0.35">
      <c r="A4" s="42"/>
      <c r="B4" s="42"/>
      <c r="C4" s="66"/>
      <c r="D4" s="66"/>
      <c r="E4" s="42"/>
      <c r="F4" s="42"/>
      <c r="G4" s="66"/>
      <c r="H4" s="66"/>
    </row>
    <row r="5" spans="1:15" ht="46" x14ac:dyDescent="0.35">
      <c r="A5" s="42"/>
      <c r="B5" s="204" t="s">
        <v>198</v>
      </c>
      <c r="C5" s="67"/>
      <c r="D5" s="56"/>
      <c r="E5" s="56"/>
      <c r="F5" s="56"/>
      <c r="G5" s="66"/>
      <c r="H5" s="66"/>
    </row>
    <row r="6" spans="1:15" x14ac:dyDescent="0.35">
      <c r="A6" s="42"/>
      <c r="B6" s="42"/>
      <c r="C6" s="66"/>
      <c r="D6" s="66"/>
      <c r="E6" s="42"/>
      <c r="F6" s="42"/>
      <c r="G6" s="66"/>
      <c r="H6" s="66"/>
    </row>
    <row r="7" spans="1:15" ht="15" customHeight="1" x14ac:dyDescent="0.35">
      <c r="A7" s="42"/>
      <c r="B7" s="56"/>
      <c r="C7" s="56"/>
      <c r="D7" s="201"/>
      <c r="E7" s="43"/>
      <c r="F7" s="43"/>
      <c r="G7" s="78"/>
      <c r="H7" s="78"/>
    </row>
    <row r="8" spans="1:15" ht="15" customHeight="1" x14ac:dyDescent="0.35">
      <c r="A8" s="42"/>
      <c r="B8" s="42"/>
      <c r="C8" s="78"/>
      <c r="D8" s="78"/>
      <c r="E8" s="43"/>
      <c r="F8" s="43"/>
      <c r="G8" s="78"/>
      <c r="H8" s="78"/>
    </row>
    <row r="9" spans="1:15" s="4" customFormat="1" ht="15" customHeight="1" x14ac:dyDescent="0.35">
      <c r="A9" s="44"/>
      <c r="B9" s="45" t="s">
        <v>103</v>
      </c>
      <c r="C9" s="200"/>
      <c r="D9" s="78"/>
      <c r="E9" s="43"/>
      <c r="F9" s="43"/>
      <c r="G9" s="78"/>
      <c r="H9" s="78"/>
      <c r="J9" s="3"/>
      <c r="K9" s="3"/>
      <c r="L9" s="3"/>
      <c r="M9" s="3"/>
      <c r="N9" s="3"/>
      <c r="O9" s="3"/>
    </row>
    <row r="10" spans="1:15" ht="15" customHeight="1" x14ac:dyDescent="0.35">
      <c r="A10" s="42"/>
      <c r="B10" s="88" t="s">
        <v>29</v>
      </c>
      <c r="C10" s="92">
        <f>'Benefit Profile 1'!$C$10</f>
        <v>0</v>
      </c>
      <c r="D10" s="78"/>
      <c r="E10" s="43"/>
      <c r="F10" s="43"/>
      <c r="G10" s="78"/>
      <c r="H10" s="78"/>
    </row>
    <row r="11" spans="1:15" ht="15" customHeight="1" x14ac:dyDescent="0.35">
      <c r="A11" s="42"/>
      <c r="B11" s="90" t="s">
        <v>30</v>
      </c>
      <c r="C11" s="92">
        <f>'Benefit Profile 1'!$C$11</f>
        <v>0</v>
      </c>
      <c r="D11" s="78"/>
      <c r="E11" s="43"/>
      <c r="F11" s="43"/>
      <c r="G11" s="78"/>
      <c r="H11" s="78"/>
    </row>
    <row r="12" spans="1:15" ht="15" customHeight="1" x14ac:dyDescent="0.35">
      <c r="A12" s="42"/>
      <c r="B12" s="90" t="s">
        <v>31</v>
      </c>
      <c r="C12" s="97" t="str">
        <f>'Benefit Profile 1'!$C$12</f>
        <v>Please select</v>
      </c>
      <c r="D12" s="78"/>
      <c r="E12" s="43"/>
      <c r="F12" s="43"/>
      <c r="G12" s="78"/>
      <c r="H12" s="78"/>
    </row>
    <row r="13" spans="1:15" ht="15" customHeight="1" x14ac:dyDescent="0.35">
      <c r="A13" s="42"/>
      <c r="B13" s="90" t="s">
        <v>33</v>
      </c>
      <c r="C13" s="97" t="str">
        <f>'Benefit Profile 1'!$C$13</f>
        <v>Please select</v>
      </c>
      <c r="D13" s="78"/>
      <c r="E13" s="43"/>
      <c r="F13" s="43"/>
      <c r="G13" s="78"/>
      <c r="H13" s="78"/>
    </row>
    <row r="14" spans="1:15" ht="30" customHeight="1" x14ac:dyDescent="0.35">
      <c r="A14" s="42"/>
      <c r="B14" s="91" t="s">
        <v>105</v>
      </c>
      <c r="C14" s="97" t="str">
        <f>'Benefit Profile 1'!$C$14</f>
        <v>Please select</v>
      </c>
      <c r="D14" s="78"/>
      <c r="E14" s="43"/>
      <c r="F14" s="43"/>
      <c r="G14" s="78"/>
      <c r="H14" s="78"/>
    </row>
    <row r="15" spans="1:15" ht="15" customHeight="1" x14ac:dyDescent="0.35">
      <c r="A15" s="42"/>
      <c r="B15" s="43"/>
      <c r="C15" s="78"/>
      <c r="D15" s="78"/>
      <c r="E15" s="43"/>
      <c r="F15" s="43"/>
      <c r="G15" s="78"/>
      <c r="H15" s="78"/>
    </row>
    <row r="16" spans="1:15" ht="15" customHeight="1" x14ac:dyDescent="0.35">
      <c r="A16" s="42"/>
      <c r="B16" s="43"/>
      <c r="C16" s="78"/>
      <c r="D16" s="78"/>
      <c r="E16" s="43"/>
      <c r="F16" s="43"/>
      <c r="G16" s="78"/>
      <c r="H16" s="78"/>
    </row>
    <row r="17" spans="1:15" s="4" customFormat="1" ht="15" customHeight="1" x14ac:dyDescent="0.35">
      <c r="A17" s="44"/>
      <c r="B17" s="47" t="s">
        <v>42</v>
      </c>
      <c r="C17" s="193"/>
      <c r="D17" s="202" t="s">
        <v>106</v>
      </c>
      <c r="E17" s="49"/>
      <c r="F17" s="47" t="s">
        <v>107</v>
      </c>
      <c r="G17" s="193"/>
      <c r="H17" s="191" t="s">
        <v>106</v>
      </c>
      <c r="J17" s="3"/>
      <c r="K17" s="3"/>
      <c r="L17" s="3"/>
      <c r="M17" s="3"/>
      <c r="N17" s="3"/>
      <c r="O17" s="3"/>
    </row>
    <row r="18" spans="1:15" s="30" customFormat="1" ht="15" customHeight="1" x14ac:dyDescent="0.35">
      <c r="A18" s="50"/>
      <c r="B18" s="54" t="s">
        <v>38</v>
      </c>
      <c r="C18" s="96" t="str">
        <f>IF(AND(LEFT(C10, 4)="INV-", ISNUMBER(VALUE(MID(C10, 5, LEN(C10)-4)))), C10 &amp; "-" &amp; VLOOKUP("Benefit Profile 5", BenefitNumbering[#All], 2, FALSE), "")</f>
        <v/>
      </c>
      <c r="D18" s="96" t="str">
        <f>IF(AND(LEFT(C10, 4)="INV-", ISNUMBER(VALUE(MID(C10, 5, LEN(C10)-4)))), C10 &amp; "-" &amp; VLOOKUP("Benefit Profile 5", BenefitNumberingVar[#All], 2, FALSE), "")</f>
        <v/>
      </c>
      <c r="E18" s="51"/>
      <c r="F18" s="54" t="s">
        <v>108</v>
      </c>
      <c r="G18" s="118">
        <f>'Benefit Profile 1'!$G$18</f>
        <v>0</v>
      </c>
      <c r="H18" s="197">
        <f>'Benefit Profile 1'!$H$18</f>
        <v>0</v>
      </c>
      <c r="J18" s="3"/>
      <c r="K18" s="3"/>
      <c r="L18" s="3"/>
      <c r="M18" s="3"/>
      <c r="N18" s="3"/>
      <c r="O18" s="3"/>
    </row>
    <row r="19" spans="1:15" ht="15" customHeight="1" x14ac:dyDescent="0.35">
      <c r="A19" s="42"/>
      <c r="B19" s="85" t="s">
        <v>109</v>
      </c>
      <c r="C19" s="69"/>
      <c r="D19" s="182"/>
      <c r="E19" s="43"/>
      <c r="F19" s="86" t="s">
        <v>110</v>
      </c>
      <c r="G19" s="118">
        <f>'Benefit Profile 1'!$G$19</f>
        <v>0</v>
      </c>
      <c r="H19" s="197">
        <f>'Benefit Profile 1'!$H$19</f>
        <v>0</v>
      </c>
    </row>
    <row r="20" spans="1:15" ht="15" customHeight="1" x14ac:dyDescent="0.35">
      <c r="A20" s="42"/>
      <c r="B20" s="85" t="s">
        <v>41</v>
      </c>
      <c r="C20" s="69"/>
      <c r="D20" s="182"/>
      <c r="E20" s="43"/>
      <c r="F20" s="86" t="s">
        <v>46</v>
      </c>
      <c r="G20" s="118">
        <f>'Benefit Profile 1'!$G$20</f>
        <v>0</v>
      </c>
      <c r="H20" s="197">
        <f>'Benefit Profile 1'!$H$20</f>
        <v>0</v>
      </c>
    </row>
    <row r="21" spans="1:15" ht="15" customHeight="1" x14ac:dyDescent="0.35">
      <c r="A21" s="42"/>
      <c r="B21" s="242" t="s">
        <v>42</v>
      </c>
      <c r="C21" s="245"/>
      <c r="D21" s="247"/>
      <c r="E21" s="43"/>
      <c r="F21" s="86" t="s">
        <v>111</v>
      </c>
      <c r="G21" s="99"/>
      <c r="H21" s="170"/>
    </row>
    <row r="22" spans="1:15" ht="15" customHeight="1" x14ac:dyDescent="0.35">
      <c r="A22" s="42"/>
      <c r="B22" s="243"/>
      <c r="C22" s="245"/>
      <c r="D22" s="248"/>
      <c r="E22" s="43"/>
      <c r="F22" s="86" t="s">
        <v>112</v>
      </c>
      <c r="G22" s="97">
        <f>'Benefit Profile 1'!$G$22</f>
        <v>0</v>
      </c>
      <c r="H22" s="97">
        <f>'Benefit Profile 1'!$H$22</f>
        <v>0</v>
      </c>
    </row>
    <row r="23" spans="1:15" ht="15" customHeight="1" x14ac:dyDescent="0.35">
      <c r="A23" s="42"/>
      <c r="B23" s="243"/>
      <c r="C23" s="245"/>
      <c r="D23" s="248"/>
      <c r="E23" s="43"/>
      <c r="F23" s="86" t="s">
        <v>113</v>
      </c>
      <c r="G23" s="99"/>
      <c r="H23" s="170"/>
    </row>
    <row r="24" spans="1:15" ht="15" customHeight="1" x14ac:dyDescent="0.35">
      <c r="A24" s="42"/>
      <c r="B24" s="243"/>
      <c r="C24" s="245"/>
      <c r="D24" s="248"/>
      <c r="E24" s="43"/>
      <c r="F24" s="242" t="s">
        <v>48</v>
      </c>
      <c r="G24" s="237"/>
      <c r="H24" s="233"/>
    </row>
    <row r="25" spans="1:15" ht="15" customHeight="1" x14ac:dyDescent="0.35">
      <c r="A25" s="42"/>
      <c r="B25" s="244"/>
      <c r="C25" s="246"/>
      <c r="D25" s="249"/>
      <c r="E25" s="43"/>
      <c r="F25" s="244"/>
      <c r="G25" s="238"/>
      <c r="H25" s="236"/>
    </row>
    <row r="26" spans="1:15" s="4" customFormat="1" ht="15" customHeight="1" x14ac:dyDescent="0.35">
      <c r="A26" s="44"/>
      <c r="B26" s="52"/>
      <c r="C26" s="78"/>
      <c r="D26" s="78"/>
      <c r="E26" s="43"/>
      <c r="F26" s="43"/>
      <c r="G26" s="78"/>
      <c r="H26" s="183"/>
      <c r="J26" s="3"/>
      <c r="K26" s="3"/>
      <c r="L26" s="3"/>
      <c r="M26" s="3"/>
      <c r="N26" s="3"/>
      <c r="O26" s="3"/>
    </row>
    <row r="27" spans="1:15" ht="15" customHeight="1" x14ac:dyDescent="0.35">
      <c r="A27" s="42"/>
      <c r="B27" s="47" t="s">
        <v>50</v>
      </c>
      <c r="C27" s="193"/>
      <c r="D27" s="191" t="s">
        <v>106</v>
      </c>
      <c r="E27" s="53"/>
      <c r="F27" s="47" t="s">
        <v>114</v>
      </c>
      <c r="G27" s="193"/>
      <c r="H27" s="191" t="s">
        <v>106</v>
      </c>
    </row>
    <row r="28" spans="1:15" ht="15" customHeight="1" x14ac:dyDescent="0.35">
      <c r="A28" s="42"/>
      <c r="B28" s="54" t="s">
        <v>51</v>
      </c>
      <c r="C28" s="69" t="s">
        <v>104</v>
      </c>
      <c r="D28" s="192" t="s">
        <v>104</v>
      </c>
      <c r="E28" s="43"/>
      <c r="F28" s="54" t="s">
        <v>62</v>
      </c>
      <c r="G28" s="184" t="str">
        <f>IF(AND($C$46="",$G$46="",$C$67="",$G$67=""),"",MIN($C$46,$G$46,$C$67,$G$67))</f>
        <v/>
      </c>
      <c r="H28" s="184" t="str">
        <f>IF(AND(D46="",$H$46="",$D$67="",$H$67=""),"",MIN($D$46,$H$46,$D$67,$H$67))</f>
        <v/>
      </c>
    </row>
    <row r="29" spans="1:15" ht="15" customHeight="1" x14ac:dyDescent="0.35">
      <c r="A29" s="42"/>
      <c r="B29" s="54" t="s">
        <v>53</v>
      </c>
      <c r="C29" s="69" t="s">
        <v>104</v>
      </c>
      <c r="D29" s="192" t="s">
        <v>104</v>
      </c>
      <c r="E29" s="43"/>
      <c r="F29" s="54" t="s">
        <v>64</v>
      </c>
      <c r="G29" s="184" t="str">
        <f>IF(AND($C$47="",$G$47="",$C$68="",$G$68=""),"",MAX($C$47,$G$47,$C$68,$G$68))</f>
        <v/>
      </c>
      <c r="H29" s="184" t="str">
        <f>IF(AND($D$47="",$H$47="",$D$68="",$H$68=""),"",MAX($D$47,$H$47,$D$68,$H$68))</f>
        <v/>
      </c>
    </row>
    <row r="30" spans="1:15" ht="15" customHeight="1" x14ac:dyDescent="0.35">
      <c r="A30" s="42"/>
      <c r="B30" s="54" t="s">
        <v>55</v>
      </c>
      <c r="C30" s="69" t="s">
        <v>104</v>
      </c>
      <c r="D30" s="192" t="s">
        <v>104</v>
      </c>
      <c r="E30" s="43"/>
      <c r="F30" s="119" t="s">
        <v>66</v>
      </c>
      <c r="G30" s="185" t="str">
        <f>IF(VLOOKUP($C$140,MeasureConfidence[[#All],[Confidence Score]:[Cross Ref]],2,FALSE)=0,"",VLOOKUP($C$140,MeasureConfidence[[#All],[Confidence Score]:[Cross Ref]],2,FALSE))</f>
        <v/>
      </c>
      <c r="H30" s="185" t="str">
        <f>IF(VLOOKUP($G$140,MeasureConfidence[[#All],[Confidence Score]:[Cross Ref]],2,FALSE)=0,"",VLOOKUP($G$140,MeasureConfidence[[#All],[Confidence Score]:[Cross Ref]],2,FALSE))</f>
        <v/>
      </c>
    </row>
    <row r="31" spans="1:15" ht="15" customHeight="1" x14ac:dyDescent="0.35">
      <c r="A31" s="42"/>
      <c r="B31" s="54" t="s">
        <v>57</v>
      </c>
      <c r="C31" s="69" t="s">
        <v>104</v>
      </c>
      <c r="D31" s="192" t="s">
        <v>104</v>
      </c>
      <c r="E31" s="43"/>
      <c r="F31" s="43"/>
      <c r="G31" s="78"/>
      <c r="H31" s="78"/>
    </row>
    <row r="32" spans="1:15" ht="15" customHeight="1" x14ac:dyDescent="0.35">
      <c r="A32" s="42"/>
      <c r="B32" s="74" t="s">
        <v>59</v>
      </c>
      <c r="C32" s="198" t="s">
        <v>104</v>
      </c>
      <c r="D32" s="203" t="s">
        <v>104</v>
      </c>
      <c r="E32" s="43"/>
      <c r="F32" s="43"/>
      <c r="G32" s="78"/>
      <c r="H32" s="78"/>
    </row>
    <row r="33" spans="1:8" ht="15" customHeight="1" x14ac:dyDescent="0.35">
      <c r="A33" s="42"/>
      <c r="B33" s="52"/>
      <c r="C33" s="78"/>
      <c r="D33" s="78"/>
      <c r="E33" s="43"/>
      <c r="F33" s="43"/>
      <c r="G33" s="78"/>
      <c r="H33" s="78"/>
    </row>
    <row r="34" spans="1:8" ht="15" customHeight="1" x14ac:dyDescent="0.35">
      <c r="A34" s="42"/>
      <c r="B34" s="47" t="s">
        <v>115</v>
      </c>
      <c r="C34" s="193"/>
      <c r="D34" s="202" t="s">
        <v>106</v>
      </c>
      <c r="E34" s="43"/>
      <c r="F34" s="47" t="s">
        <v>116</v>
      </c>
      <c r="G34" s="193"/>
      <c r="H34" s="191" t="s">
        <v>106</v>
      </c>
    </row>
    <row r="35" spans="1:8" ht="15" customHeight="1" x14ac:dyDescent="0.35">
      <c r="A35" s="42"/>
      <c r="B35" s="54" t="s">
        <v>69</v>
      </c>
      <c r="C35" s="76" t="str">
        <f>IF(AND(LEFT($C$10, 4)="INV-", ISNUMBER(VALUE(MID($C$10, 5, LEN($C$10)-4))), $C$36&lt;&gt;""), $C$10 &amp; "-" &amp; VLOOKUP("Benefit Profile 5", BenefitNumbering[#All], 2, FALSE) &amp; "-1", "")</f>
        <v/>
      </c>
      <c r="D35" s="76" t="str">
        <f>IF(AND(LEFT($C$10, 4)="INV-", ISNUMBER(VALUE(MID($C$10, 5, LEN($C$10)-4))), $D$36&lt;&gt;""), $C$10 &amp; "-" &amp; VLOOKUP("Benefit Profile 5", BenefitNumberingVar[#All], 2, FALSE) &amp; "-1", "")</f>
        <v/>
      </c>
      <c r="E35" s="43"/>
      <c r="F35" s="54" t="s">
        <v>69</v>
      </c>
      <c r="G35" s="76" t="str">
        <f>IF(AND(LEFT($C$10, 4)="INV-", ISNUMBER(VALUE(MID($C$10, 5, LEN($C$10)-4))), $G$36&lt;&gt;""), $C$10 &amp; "-" &amp; VLOOKUP("Benefit Profile 5", BenefitNumbering[#All], 2, FALSE) &amp; "-2", "")</f>
        <v/>
      </c>
      <c r="H35" s="76" t="str">
        <f>IF(AND(LEFT($C$10, 4)="INV-", ISNUMBER(VALUE(MID($C$10, 5, LEN($C$10)-4))), $H$36&lt;&gt;""), $C$10 &amp; "-" &amp; VLOOKUP("Benefit Profile 5", BenefitNumberingVar[#All], 2, FALSE) &amp; "-2", "")</f>
        <v/>
      </c>
    </row>
    <row r="36" spans="1:8" ht="15" customHeight="1" x14ac:dyDescent="0.35">
      <c r="A36" s="42"/>
      <c r="B36" s="54" t="s">
        <v>117</v>
      </c>
      <c r="C36" s="169"/>
      <c r="D36" s="143"/>
      <c r="E36" s="43"/>
      <c r="F36" s="54" t="s">
        <v>117</v>
      </c>
      <c r="G36" s="169"/>
      <c r="H36" s="143"/>
    </row>
    <row r="37" spans="1:8" ht="15" customHeight="1" x14ac:dyDescent="0.35">
      <c r="A37" s="42"/>
      <c r="B37" s="54" t="s">
        <v>72</v>
      </c>
      <c r="C37" s="169"/>
      <c r="D37" s="143"/>
      <c r="E37" s="43"/>
      <c r="F37" s="54" t="s">
        <v>72</v>
      </c>
      <c r="G37" s="169"/>
      <c r="H37" s="143"/>
    </row>
    <row r="38" spans="1:8" ht="15" customHeight="1" x14ac:dyDescent="0.35">
      <c r="A38" s="42"/>
      <c r="B38" s="115" t="s">
        <v>74</v>
      </c>
      <c r="C38" s="169"/>
      <c r="D38" s="143"/>
      <c r="E38" s="43"/>
      <c r="F38" s="54" t="s">
        <v>74</v>
      </c>
      <c r="G38" s="169"/>
      <c r="H38" s="143"/>
    </row>
    <row r="39" spans="1:8" ht="15" customHeight="1" x14ac:dyDescent="0.35">
      <c r="A39" s="42"/>
      <c r="B39" s="54" t="s">
        <v>76</v>
      </c>
      <c r="C39" s="169"/>
      <c r="D39" s="143"/>
      <c r="E39" s="43"/>
      <c r="F39" s="54" t="s">
        <v>76</v>
      </c>
      <c r="G39" s="169"/>
      <c r="H39" s="143"/>
    </row>
    <row r="40" spans="1:8" ht="15" customHeight="1" x14ac:dyDescent="0.35">
      <c r="A40" s="42"/>
      <c r="B40" s="54" t="s">
        <v>78</v>
      </c>
      <c r="C40" s="169"/>
      <c r="D40" s="143"/>
      <c r="E40" s="43"/>
      <c r="F40" s="54" t="s">
        <v>78</v>
      </c>
      <c r="G40" s="169"/>
      <c r="H40" s="143"/>
    </row>
    <row r="41" spans="1:8" ht="15" customHeight="1" x14ac:dyDescent="0.35">
      <c r="A41" s="42"/>
      <c r="B41" s="115" t="s">
        <v>439</v>
      </c>
      <c r="C41" s="169" t="s">
        <v>104</v>
      </c>
      <c r="D41" s="143" t="s">
        <v>104</v>
      </c>
      <c r="E41" s="43"/>
      <c r="F41" s="115" t="s">
        <v>439</v>
      </c>
      <c r="G41" s="169" t="s">
        <v>104</v>
      </c>
      <c r="H41" s="143"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438</v>
      </c>
      <c r="C45" s="116">
        <f>C44-C43</f>
        <v>0</v>
      </c>
      <c r="D45" s="116">
        <f>D44-D43</f>
        <v>0</v>
      </c>
      <c r="E45" s="43"/>
      <c r="F45" s="54" t="s">
        <v>438</v>
      </c>
      <c r="G45" s="116">
        <f>G44-G43</f>
        <v>0</v>
      </c>
      <c r="H45" s="116">
        <f>H44-H43</f>
        <v>0</v>
      </c>
    </row>
    <row r="46" spans="1:8" ht="15" customHeight="1" x14ac:dyDescent="0.35">
      <c r="A46" s="42"/>
      <c r="B46" s="54" t="s">
        <v>119</v>
      </c>
      <c r="C46" s="171"/>
      <c r="D46" s="132"/>
      <c r="E46" s="43"/>
      <c r="F46" s="54" t="s">
        <v>119</v>
      </c>
      <c r="G46" s="171"/>
      <c r="H46" s="132"/>
    </row>
    <row r="47" spans="1:8" ht="15" customHeight="1" x14ac:dyDescent="0.35">
      <c r="A47" s="42"/>
      <c r="B47" s="54" t="s">
        <v>120</v>
      </c>
      <c r="C47" s="171"/>
      <c r="D47" s="132"/>
      <c r="E47" s="43"/>
      <c r="F47" s="54" t="s">
        <v>120</v>
      </c>
      <c r="G47" s="171"/>
      <c r="H47" s="132"/>
    </row>
    <row r="48" spans="1:8" ht="15" customHeight="1" x14ac:dyDescent="0.35">
      <c r="A48" s="42"/>
      <c r="B48" s="54" t="s">
        <v>121</v>
      </c>
      <c r="C48" s="98"/>
      <c r="D48" s="144"/>
      <c r="E48" s="43"/>
      <c r="F48" s="54" t="s">
        <v>121</v>
      </c>
      <c r="G48" s="98"/>
      <c r="H48" s="144"/>
    </row>
    <row r="49" spans="1:8" ht="15" customHeight="1" x14ac:dyDescent="0.35">
      <c r="A49" s="42"/>
      <c r="B49" s="54" t="s">
        <v>92</v>
      </c>
      <c r="C49" s="81" t="s">
        <v>104</v>
      </c>
      <c r="D49" s="145" t="s">
        <v>104</v>
      </c>
      <c r="E49" s="43"/>
      <c r="F49" s="54" t="s">
        <v>92</v>
      </c>
      <c r="G49" s="81" t="s">
        <v>104</v>
      </c>
      <c r="H49" s="145"/>
    </row>
    <row r="50" spans="1:8" ht="15" customHeight="1" x14ac:dyDescent="0.35">
      <c r="A50" s="42"/>
      <c r="B50" s="54" t="s">
        <v>98</v>
      </c>
      <c r="C50" s="82"/>
      <c r="D50" s="145"/>
      <c r="E50" s="43"/>
      <c r="F50" s="54" t="s">
        <v>98</v>
      </c>
      <c r="G50" s="82"/>
      <c r="H50" s="145"/>
    </row>
    <row r="51" spans="1:8" ht="15" customHeight="1" x14ac:dyDescent="0.35">
      <c r="A51" s="42"/>
      <c r="B51" s="54" t="s">
        <v>94</v>
      </c>
      <c r="C51" s="82"/>
      <c r="D51" s="145"/>
      <c r="E51" s="43"/>
      <c r="F51" s="54" t="s">
        <v>94</v>
      </c>
      <c r="G51" s="82"/>
      <c r="H51" s="145"/>
    </row>
    <row r="52" spans="1:8" ht="15" customHeight="1" x14ac:dyDescent="0.35">
      <c r="A52" s="42"/>
      <c r="B52" s="54" t="s">
        <v>96</v>
      </c>
      <c r="C52" s="82"/>
      <c r="D52" s="146"/>
      <c r="E52" s="43"/>
      <c r="F52" s="54" t="s">
        <v>96</v>
      </c>
      <c r="G52" s="82"/>
      <c r="H52" s="146"/>
    </row>
    <row r="53" spans="1:8" ht="15" customHeight="1" x14ac:dyDescent="0.35">
      <c r="A53" s="42"/>
      <c r="B53" s="77" t="s">
        <v>100</v>
      </c>
      <c r="C53" s="83" t="s">
        <v>104</v>
      </c>
      <c r="D53" s="188" t="s">
        <v>104</v>
      </c>
      <c r="E53" s="43"/>
      <c r="F53" s="77" t="s">
        <v>100</v>
      </c>
      <c r="G53" s="83" t="s">
        <v>104</v>
      </c>
      <c r="H53" s="188" t="s">
        <v>104</v>
      </c>
    </row>
    <row r="54" spans="1:8" ht="15" customHeight="1" x14ac:dyDescent="0.35">
      <c r="A54" s="42"/>
      <c r="B54" s="52"/>
      <c r="C54" s="78"/>
      <c r="D54" s="78"/>
      <c r="E54" s="43"/>
      <c r="F54" s="43"/>
      <c r="G54" s="78"/>
      <c r="H54" s="78"/>
    </row>
    <row r="55" spans="1:8" ht="15" customHeight="1" x14ac:dyDescent="0.35">
      <c r="A55" s="42"/>
      <c r="B55" s="47" t="s">
        <v>122</v>
      </c>
      <c r="C55" s="193"/>
      <c r="D55" s="191" t="s">
        <v>106</v>
      </c>
      <c r="E55" s="43"/>
      <c r="F55" s="47" t="s">
        <v>123</v>
      </c>
      <c r="G55" s="193"/>
      <c r="H55" s="191" t="s">
        <v>106</v>
      </c>
    </row>
    <row r="56" spans="1:8" ht="15" customHeight="1" x14ac:dyDescent="0.35">
      <c r="A56" s="42"/>
      <c r="B56" s="54" t="s">
        <v>69</v>
      </c>
      <c r="C56" s="76" t="str">
        <f>IF(AND(LEFT($C$10, 4)="INV-", ISNUMBER(VALUE(MID($C$10, 5, LEN($C$10)-4))), $C$57&lt;&gt;""), $C$10 &amp; "-" &amp; VLOOKUP("Benefit Profile 5", BenefitNumbering[#All], 2, FALSE) &amp; "-3", "")</f>
        <v/>
      </c>
      <c r="D56" s="76" t="str">
        <f>IF(AND(LEFT($C$10, 4)="INV-", ISNUMBER(VALUE(MID($C$10, 5, LEN($C$10)-4))), $D$57&lt;&gt;""), $C$10 &amp; "-" &amp; VLOOKUP("Benefit Profile 5", BenefitNumberingVar[#All], 2, FALSE) &amp; "-3", "")</f>
        <v/>
      </c>
      <c r="E56" s="43"/>
      <c r="F56" s="54" t="s">
        <v>69</v>
      </c>
      <c r="G56" s="76" t="str">
        <f>IF(AND(LEFT($C$10, 4)="INV-", ISNUMBER(VALUE(MID($C$10, 5, LEN($C$10)-4))), $G$57&lt;&gt;""), $C$10 &amp; "-" &amp; VLOOKUP("Benefit Profile 5", BenefitNumbering[#All], 2, FALSE) &amp; "-4", "")</f>
        <v/>
      </c>
      <c r="H56" s="76" t="str">
        <f>IF(AND(LEFT($C$10, 4)="INV-", ISNUMBER(VALUE(MID($C$10, 5, LEN($C$10)-4))), $H$57&lt;&gt;""), $C$10 &amp; "-" &amp; VLOOKUP("Benefit Profile 5", BenefitNumberingVar[#All], 2, FALSE) &amp; "-4", "")</f>
        <v/>
      </c>
    </row>
    <row r="57" spans="1:8" ht="15" customHeight="1" x14ac:dyDescent="0.35">
      <c r="A57" s="55"/>
      <c r="B57" s="54" t="s">
        <v>117</v>
      </c>
      <c r="C57" s="169"/>
      <c r="D57" s="143"/>
      <c r="E57" s="78"/>
      <c r="F57" s="54" t="s">
        <v>117</v>
      </c>
      <c r="G57" s="169"/>
      <c r="H57" s="143"/>
    </row>
    <row r="58" spans="1:8" ht="15" customHeight="1" x14ac:dyDescent="0.35">
      <c r="A58" s="55"/>
      <c r="B58" s="54" t="s">
        <v>72</v>
      </c>
      <c r="C58" s="169"/>
      <c r="D58" s="143"/>
      <c r="E58" s="43"/>
      <c r="F58" s="54" t="s">
        <v>72</v>
      </c>
      <c r="G58" s="169"/>
      <c r="H58" s="143"/>
    </row>
    <row r="59" spans="1:8" ht="15" customHeight="1" x14ac:dyDescent="0.35">
      <c r="A59" s="55"/>
      <c r="B59" s="54" t="s">
        <v>74</v>
      </c>
      <c r="C59" s="169"/>
      <c r="D59" s="143"/>
      <c r="E59" s="43"/>
      <c r="F59" s="54" t="s">
        <v>74</v>
      </c>
      <c r="G59" s="169"/>
      <c r="H59" s="143"/>
    </row>
    <row r="60" spans="1:8" ht="15" customHeight="1" x14ac:dyDescent="0.35">
      <c r="A60" s="55"/>
      <c r="B60" s="54" t="s">
        <v>76</v>
      </c>
      <c r="C60" s="169"/>
      <c r="D60" s="143"/>
      <c r="E60" s="43"/>
      <c r="F60" s="54" t="s">
        <v>76</v>
      </c>
      <c r="G60" s="169"/>
      <c r="H60" s="143"/>
    </row>
    <row r="61" spans="1:8" ht="15" customHeight="1" x14ac:dyDescent="0.35">
      <c r="A61" s="55"/>
      <c r="B61" s="54" t="s">
        <v>78</v>
      </c>
      <c r="C61" s="169"/>
      <c r="D61" s="143"/>
      <c r="E61" s="43"/>
      <c r="F61" s="54" t="s">
        <v>78</v>
      </c>
      <c r="G61" s="169"/>
      <c r="H61" s="143"/>
    </row>
    <row r="62" spans="1:8" ht="15" customHeight="1" x14ac:dyDescent="0.35">
      <c r="A62" s="55"/>
      <c r="B62" s="115" t="s">
        <v>439</v>
      </c>
      <c r="C62" s="169" t="s">
        <v>104</v>
      </c>
      <c r="D62" s="143" t="s">
        <v>104</v>
      </c>
      <c r="E62" s="43"/>
      <c r="F62" s="115" t="s">
        <v>439</v>
      </c>
      <c r="G62" s="169" t="s">
        <v>104</v>
      </c>
      <c r="H62" s="143" t="s">
        <v>104</v>
      </c>
    </row>
    <row r="63" spans="1:8" ht="15" customHeight="1" x14ac:dyDescent="0.35">
      <c r="A63" s="55"/>
      <c r="B63" s="54" t="s">
        <v>118</v>
      </c>
      <c r="C63" s="171"/>
      <c r="D63" s="132"/>
      <c r="E63" s="43"/>
      <c r="F63" s="54" t="s">
        <v>118</v>
      </c>
      <c r="G63" s="171"/>
      <c r="H63" s="132"/>
    </row>
    <row r="64" spans="1:8" ht="15" customHeight="1" x14ac:dyDescent="0.35">
      <c r="A64" s="55"/>
      <c r="B64" s="54" t="s">
        <v>82</v>
      </c>
      <c r="C64" s="157"/>
      <c r="D64" s="133"/>
      <c r="E64" s="43"/>
      <c r="F64" s="54" t="s">
        <v>82</v>
      </c>
      <c r="G64" s="157"/>
      <c r="H64" s="133"/>
    </row>
    <row r="65" spans="1:8" ht="15" customHeight="1" x14ac:dyDescent="0.35">
      <c r="A65" s="55"/>
      <c r="B65" s="54" t="s">
        <v>84</v>
      </c>
      <c r="C65" s="157"/>
      <c r="D65" s="133"/>
      <c r="E65" s="43"/>
      <c r="F65" s="54" t="s">
        <v>84</v>
      </c>
      <c r="G65" s="157"/>
      <c r="H65" s="133"/>
    </row>
    <row r="66" spans="1:8" ht="15" customHeight="1" x14ac:dyDescent="0.35">
      <c r="A66" s="55"/>
      <c r="B66" s="54" t="s">
        <v>438</v>
      </c>
      <c r="C66" s="116">
        <f>C65-C64</f>
        <v>0</v>
      </c>
      <c r="D66" s="116">
        <f>D65-D64</f>
        <v>0</v>
      </c>
      <c r="E66" s="43"/>
      <c r="F66" s="54" t="s">
        <v>438</v>
      </c>
      <c r="G66" s="116">
        <f>G65-G64</f>
        <v>0</v>
      </c>
      <c r="H66" s="116">
        <f>H65-H64</f>
        <v>0</v>
      </c>
    </row>
    <row r="67" spans="1:8" ht="15" customHeight="1" x14ac:dyDescent="0.35">
      <c r="A67" s="55"/>
      <c r="B67" s="54" t="s">
        <v>119</v>
      </c>
      <c r="C67" s="171"/>
      <c r="D67" s="132"/>
      <c r="E67" s="43"/>
      <c r="F67" s="54" t="s">
        <v>119</v>
      </c>
      <c r="G67" s="171"/>
      <c r="H67" s="132"/>
    </row>
    <row r="68" spans="1:8" ht="15" customHeight="1" x14ac:dyDescent="0.35">
      <c r="A68" s="55"/>
      <c r="B68" s="54" t="s">
        <v>120</v>
      </c>
      <c r="C68" s="171"/>
      <c r="D68" s="132"/>
      <c r="E68" s="43"/>
      <c r="F68" s="54" t="s">
        <v>120</v>
      </c>
      <c r="G68" s="171"/>
      <c r="H68" s="132"/>
    </row>
    <row r="69" spans="1:8" ht="15" customHeight="1" x14ac:dyDescent="0.35">
      <c r="A69" s="55"/>
      <c r="B69" s="54" t="s">
        <v>121</v>
      </c>
      <c r="C69" s="98"/>
      <c r="D69" s="144"/>
      <c r="E69" s="43"/>
      <c r="F69" s="54" t="s">
        <v>121</v>
      </c>
      <c r="G69" s="98"/>
      <c r="H69" s="144"/>
    </row>
    <row r="70" spans="1:8" ht="15" customHeight="1" x14ac:dyDescent="0.35">
      <c r="A70" s="55"/>
      <c r="B70" s="54" t="s">
        <v>92</v>
      </c>
      <c r="C70" s="81" t="s">
        <v>104</v>
      </c>
      <c r="D70" s="145" t="s">
        <v>104</v>
      </c>
      <c r="E70" s="43"/>
      <c r="F70" s="54" t="s">
        <v>92</v>
      </c>
      <c r="G70" s="81" t="s">
        <v>104</v>
      </c>
      <c r="H70" s="145" t="s">
        <v>104</v>
      </c>
    </row>
    <row r="71" spans="1:8" ht="15" customHeight="1" x14ac:dyDescent="0.35">
      <c r="A71" s="55"/>
      <c r="B71" s="54" t="s">
        <v>98</v>
      </c>
      <c r="C71" s="82"/>
      <c r="D71" s="145"/>
      <c r="E71" s="43"/>
      <c r="F71" s="54" t="s">
        <v>98</v>
      </c>
      <c r="G71" s="82"/>
      <c r="H71" s="145"/>
    </row>
    <row r="72" spans="1:8" ht="15" customHeight="1" x14ac:dyDescent="0.35">
      <c r="A72" s="55"/>
      <c r="B72" s="54" t="s">
        <v>94</v>
      </c>
      <c r="C72" s="82"/>
      <c r="D72" s="145"/>
      <c r="E72" s="43"/>
      <c r="F72" s="54" t="s">
        <v>94</v>
      </c>
      <c r="G72" s="82"/>
      <c r="H72" s="145"/>
    </row>
    <row r="73" spans="1:8" ht="15" customHeight="1" x14ac:dyDescent="0.35">
      <c r="A73" s="55"/>
      <c r="B73" s="54" t="s">
        <v>96</v>
      </c>
      <c r="C73" s="82"/>
      <c r="D73" s="146"/>
      <c r="E73" s="43"/>
      <c r="F73" s="54" t="s">
        <v>96</v>
      </c>
      <c r="G73" s="82"/>
      <c r="H73" s="146"/>
    </row>
    <row r="74" spans="1:8" ht="15" customHeight="1" x14ac:dyDescent="0.35">
      <c r="A74" s="55"/>
      <c r="B74" s="77" t="s">
        <v>100</v>
      </c>
      <c r="C74" s="83" t="s">
        <v>104</v>
      </c>
      <c r="D74" s="188" t="s">
        <v>104</v>
      </c>
      <c r="E74" s="43"/>
      <c r="F74" s="77" t="s">
        <v>100</v>
      </c>
      <c r="G74" s="83" t="s">
        <v>104</v>
      </c>
      <c r="H74" s="188" t="s">
        <v>104</v>
      </c>
    </row>
    <row r="75" spans="1:8" ht="15" customHeight="1" x14ac:dyDescent="0.35"/>
    <row r="76" spans="1:8" ht="15" customHeight="1" x14ac:dyDescent="0.35"/>
    <row r="77" spans="1:8" ht="15" customHeight="1" x14ac:dyDescent="0.35"/>
    <row r="78" spans="1:8" ht="15" customHeight="1" x14ac:dyDescent="0.35">
      <c r="B78" s="239" t="s">
        <v>124</v>
      </c>
      <c r="C78" s="240"/>
    </row>
    <row r="79" spans="1:8" ht="15" customHeight="1" x14ac:dyDescent="0.35">
      <c r="B79" s="21" t="s">
        <v>125</v>
      </c>
      <c r="C79" s="70"/>
    </row>
    <row r="80" spans="1:8" ht="15" customHeight="1" x14ac:dyDescent="0.35">
      <c r="B80" s="21" t="s">
        <v>126</v>
      </c>
      <c r="C80" s="70"/>
    </row>
    <row r="81" spans="2:3" ht="15" customHeight="1" x14ac:dyDescent="0.35">
      <c r="B81" s="21" t="s">
        <v>127</v>
      </c>
      <c r="C81" s="72"/>
    </row>
    <row r="82" spans="2:3" ht="15" customHeight="1" x14ac:dyDescent="0.35">
      <c r="B82" s="21" t="s">
        <v>128</v>
      </c>
      <c r="C82" s="72"/>
    </row>
    <row r="83" spans="2:3" ht="15" customHeight="1" x14ac:dyDescent="0.35">
      <c r="B83" s="23" t="s">
        <v>129</v>
      </c>
      <c r="C83" s="73"/>
    </row>
    <row r="131" spans="2:7" hidden="1" x14ac:dyDescent="0.35"/>
    <row r="132" spans="2:7" hidden="1" x14ac:dyDescent="0.35"/>
    <row r="133" spans="2:7" hidden="1" x14ac:dyDescent="0.35">
      <c r="B133" s="29" t="s">
        <v>130</v>
      </c>
      <c r="C133" s="194">
        <f>_xlfn.IFNA(VLOOKUP($C$53,MeasureConfidence[[#All],[Measure Confidence Level]:[Confidence Score]],2,FALSE),0)</f>
        <v>0</v>
      </c>
      <c r="F133" s="58" t="s">
        <v>131</v>
      </c>
      <c r="G133" s="194">
        <f>_xlfn.IFNA(VLOOKUP($D$53,MeasureConfidence[[#All],[Measure Confidence Level]:[Confidence Score]],2,FALSE),0)</f>
        <v>0</v>
      </c>
    </row>
    <row r="134" spans="2:7" hidden="1" x14ac:dyDescent="0.35">
      <c r="B134" s="29" t="s">
        <v>132</v>
      </c>
      <c r="C134" s="194">
        <f>_xlfn.IFNA(VLOOKUP($G$53,MeasureConfidence[[#All],[Measure Confidence Level]:[Confidence Score]],2,FALSE),0)</f>
        <v>0</v>
      </c>
      <c r="F134" s="58" t="s">
        <v>133</v>
      </c>
      <c r="G134" s="194">
        <f>_xlfn.IFNA(VLOOKUP($H$53,MeasureConfidence[[#All],[Measure Confidence Level]:[Confidence Score]],2,FALSE),0)</f>
        <v>0</v>
      </c>
    </row>
    <row r="135" spans="2:7" hidden="1" x14ac:dyDescent="0.35">
      <c r="B135" s="29" t="s">
        <v>134</v>
      </c>
      <c r="C135" s="194">
        <f>_xlfn.IFNA(VLOOKUP($C$74,MeasureConfidence[[#All],[Measure Confidence Level]:[Confidence Score]],2,FALSE),0)</f>
        <v>0</v>
      </c>
      <c r="F135" s="58" t="s">
        <v>135</v>
      </c>
      <c r="G135" s="194">
        <f>_xlfn.IFNA(VLOOKUP($D$74,MeasureConfidence[[#All],[Measure Confidence Level]:[Confidence Score]],2,FALSE),0)</f>
        <v>0</v>
      </c>
    </row>
    <row r="136" spans="2:7" hidden="1" x14ac:dyDescent="0.35">
      <c r="B136" s="29" t="s">
        <v>136</v>
      </c>
      <c r="C136" s="194">
        <f>_xlfn.IFNA(VLOOKUP($G$74,MeasureConfidence[[#All],[Measure Confidence Level]:[Confidence Score]],2,FALSE),0)</f>
        <v>0</v>
      </c>
      <c r="F136" s="58" t="s">
        <v>137</v>
      </c>
      <c r="G136" s="194">
        <f>_xlfn.IFNA(VLOOKUP($H$74,MeasureConfidence[[#All],[Measure Confidence Level]:[Confidence Score]],2,FALSE),0)</f>
        <v>0</v>
      </c>
    </row>
    <row r="137" spans="2:7" hidden="1" x14ac:dyDescent="0.35">
      <c r="B137" s="29"/>
      <c r="C137" s="194"/>
      <c r="F137" s="58"/>
      <c r="G137" s="194"/>
    </row>
    <row r="138" spans="2:7" hidden="1" x14ac:dyDescent="0.35">
      <c r="B138" s="29" t="s">
        <v>138</v>
      </c>
      <c r="C138" s="194" t="e">
        <f>ROUND(AVERAGEIF(C133:C136,"&gt;0"),0)</f>
        <v>#DIV/0!</v>
      </c>
      <c r="F138" s="58" t="s">
        <v>138</v>
      </c>
      <c r="G138" s="194" t="e">
        <f>ROUND(AVERAGEIF(G133:G136,"&gt;0"),0)</f>
        <v>#DIV/0!</v>
      </c>
    </row>
    <row r="139" spans="2:7" hidden="1" x14ac:dyDescent="0.35">
      <c r="B139" s="29"/>
      <c r="C139" s="194"/>
      <c r="F139" s="58"/>
      <c r="G139" s="194"/>
    </row>
    <row r="140" spans="2:7" hidden="1" x14ac:dyDescent="0.35">
      <c r="B140" s="29" t="s">
        <v>139</v>
      </c>
      <c r="C140" s="194">
        <f>_xlfn.MINIFS(C133:C136,C133:C136,"&gt;0")</f>
        <v>0</v>
      </c>
      <c r="F140" s="58" t="s">
        <v>139</v>
      </c>
      <c r="G140" s="194">
        <f>_xlfn.MINIFS(G133:G136,G133:G136,"&gt;0")</f>
        <v>0</v>
      </c>
    </row>
    <row r="141" spans="2:7" hidden="1" x14ac:dyDescent="0.35"/>
    <row r="142" spans="2:7" hidden="1" x14ac:dyDescent="0.35"/>
    <row r="143" spans="2:7" hidden="1" x14ac:dyDescent="0.35"/>
    <row r="144" spans="2:7"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sheetData>
  <sheetProtection algorithmName="SHA-512" hashValue="TcRgnqvMel+Kt8KK63BVPTe93XaBXsAzn5C9Ay8YI2i4ajO7ZVq62WRGT91cw72nT9XbGQ+XiT87HkZ0W5SCfA==" saltValue="TQFPT+bCbZU9jyQLY9r4Sw==" spinCount="100000" sheet="1" formatColumns="0" formatRows="0"/>
  <dataConsolidate link="1"/>
  <mergeCells count="7">
    <mergeCell ref="G24:G25"/>
    <mergeCell ref="H24:H25"/>
    <mergeCell ref="B78:C78"/>
    <mergeCell ref="B21:B25"/>
    <mergeCell ref="C21:C25"/>
    <mergeCell ref="D21:D25"/>
    <mergeCell ref="F24:F25"/>
  </mergeCells>
  <dataValidations xWindow="630" yWindow="532" count="25">
    <dataValidation allowBlank="1" showInputMessage="1" showErrorMessage="1" prompt="Investment Details - automatically filled from Benefit Profile 1." sqref="C10" xr:uid="{56ED6830-0B6E-4811-A69B-B1B0A5649D68}"/>
    <dataValidation type="decimal" errorStyle="information" operator="greaterThan" allowBlank="1" showInputMessage="1" showErrorMessage="1" error="Numerical value only please" prompt="Numerical value only please" sqref="G45:H45" xr:uid="{40A71FA1-F7C4-4C81-A762-7E0620B5DA19}">
      <formula1>0</formula1>
    </dataValidation>
    <dataValidation type="list" allowBlank="1" showInputMessage="1" showErrorMessage="1" sqref="G41:H41 C62:D62 G62:H62" xr:uid="{B09D6BBB-1EB0-46CE-8158-A4056DED4DC3}">
      <formula1>"Please select, Increase, Decrease"</formula1>
    </dataValidation>
    <dataValidation type="list" operator="greaterThanOrEqual" allowBlank="1" showInputMessage="1" showErrorMessage="1" sqref="C41:D41" xr:uid="{CCD151C0-A819-4F21-93FC-293334451795}">
      <formula1>"Please select, Increase, Decrease"</formula1>
    </dataValidation>
    <dataValidation type="decimal" errorStyle="information" operator="lessThan" allowBlank="1" showInputMessage="1" showErrorMessage="1" error="Numerical value only please" prompt="Numerical value only please" sqref="C45:D45 C66:D66 G66:H66" xr:uid="{AF082FF4-B4BA-42BF-85AE-E38B5ABBA8AB}">
      <formula1>0</formula1>
    </dataValidation>
    <dataValidation type="list" allowBlank="1" showInputMessage="1" showErrorMessage="1" sqref="C49 G49 C70 G70" xr:uid="{D93A2ECF-0ADC-4498-9347-225257803A66}">
      <formula1>"Please select, Weekly, Fortnightly, In planning, Monthly, Quarterly, Biannually, Year (calendar), Year (financial)"</formula1>
    </dataValidation>
    <dataValidation type="list" allowBlank="1" showInputMessage="1" showErrorMessage="1" sqref="C31" xr:uid="{F8902111-8ADC-450B-AA1B-CB6162F86C62}">
      <formula1>"Please select, Agency, Business, Citizen, Government"</formula1>
    </dataValidation>
    <dataValidation type="list" allowBlank="1" showInputMessage="1" showErrorMessage="1" sqref="C32" xr:uid="{3D86CCBF-07EC-4592-8309-E901C4237102}">
      <formula1>"Please select, Data and digital foundations, Delivering for all people and business, Government for the future, Simple and seamless services, Trusted and secure"</formula1>
    </dataValidation>
    <dataValidation type="list" allowBlank="1" showInputMessage="1" showErrorMessage="1" sqref="C28" xr:uid="{A6C07256-2E22-452E-869A-76025E5605C9}">
      <formula1>"Please select, Financial - Cashable, Financial - Non-Cashable, Non-financial"</formula1>
    </dataValidation>
    <dataValidation type="list" allowBlank="1" showInputMessage="1" showErrorMessage="1" sqref="C29" xr:uid="{5DEFC1AF-5F73-4AE2-9E05-279F85436B18}">
      <formula1>"Please select, Benefit, Disbenefit"</formula1>
    </dataValidation>
    <dataValidation allowBlank="1" showInputMessage="1" showErrorMessage="1" prompt="Benefit Endorsement fields will be automatically filled from Benefit Profile 1, except for date fields. _x000a_Please change if different." sqref="G18" xr:uid="{1920492E-2B70-4948-AE48-CDEF2184B01F}"/>
    <dataValidation allowBlank="1" showInputMessage="1" showErrorMessage="1" prompt="DTA numbering system. Automatically populated when the DTA Investment ID is filled." sqref="C18" xr:uid="{537B0DD8-272E-435E-972D-6D0F7C75D135}"/>
    <dataValidation errorStyle="information" allowBlank="1" showInputMessage="1" showErrorMessage="1" sqref="G22" xr:uid="{EC203D4D-FFDD-472B-AB2A-07448B643DD5}"/>
    <dataValidation type="date" operator="greaterThan" allowBlank="1" showInputMessage="1" showErrorMessage="1" sqref="G23" xr:uid="{D5FA526D-C0DE-4D7E-8111-F7B2B9A42A6A}">
      <formula1>36526</formula1>
    </dataValidation>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6:D47 C79:C80 C42:D42 G67:H68 G46:H47 C67:D68 G42:H42 C63:D63 G63:H63" xr:uid="{E2E5A1C0-DFDF-4641-90F0-12379330F494}">
      <formula1>1</formula1>
    </dataValidation>
    <dataValidation type="decimal" errorStyle="warning" allowBlank="1" showInputMessage="1" showErrorMessage="1" sqref="H48 D69 D48 H69" xr:uid="{C3D87AE1-C635-4F1D-9B98-0F05132A73F4}">
      <formula1>0</formula1>
      <formula2>1</formula2>
    </dataValidation>
    <dataValidation type="decimal" allowBlank="1" showInputMessage="1" showErrorMessage="1" sqref="C48 G48 C69 G69" xr:uid="{E206FFB4-15C2-46FF-8CD9-87CA48E3AA9E}">
      <formula1>0</formula1>
      <formula2>1</formula2>
    </dataValidation>
    <dataValidation allowBlank="1" showInputMessage="1" showErrorMessage="1" prompt="Automatically calculated based on the lowest Benefit Confidence Level of the Measures/KPIs." sqref="G30" xr:uid="{0199888C-8F79-41BA-A47A-ECC520D84780}"/>
    <dataValidation allowBlank="1" showInputMessage="1" showErrorMessage="1" prompt="Automatically populated based on the earliest Realisation Start Date of the Measure/KPI date." sqref="G28" xr:uid="{4A023F6C-B225-4D37-A7A4-DE3DDA78A2BE}"/>
    <dataValidation allowBlank="1" showInputMessage="1" showErrorMessage="1" prompt="Automatically populated based on the latest Realisation End Date of the Measure/KPI date." sqref="G29" xr:uid="{2D22E781-4BA6-487B-AF57-D96F5A9910FB}"/>
    <dataValidation operator="greaterThanOrEqual" allowBlank="1" showInputMessage="1" showErrorMessage="1" sqref="C40" xr:uid="{AF1FFE22-3547-4E1A-8859-8655399D7D21}"/>
    <dataValidation type="date" errorStyle="warning" operator="greaterThan" allowBlank="1" showInputMessage="1" showErrorMessage="1" sqref="G21" xr:uid="{EE211BE9-3068-45C1-95CF-BD859F0031EE}">
      <formula1>36526</formula1>
    </dataValidation>
    <dataValidation type="decimal" operator="greaterThan" allowBlank="1" showInputMessage="1" showErrorMessage="1" error="Numerical value only please" prompt="Numerical value only please" sqref="C43:C44 C64:C65 G43:G44 G64:G65" xr:uid="{C0DE425D-3909-457B-8C66-52706CEA7CAD}">
      <formula1>0.0000000000001</formula1>
    </dataValidation>
    <dataValidation allowBlank="1" showInputMessage="1" showErrorMessage="1" prompt="Automatically populated when the Measure Name's cell is entered/filled" sqref="C35 G35 G56 C56" xr:uid="{397F98DE-A933-40A5-BB48-DA9FC9D23460}"/>
    <dataValidation type="decimal" operator="greaterThan" allowBlank="1" showInputMessage="1" showErrorMessage="1" sqref="D43:D44 H43:H44 D64:D65 H64:H65" xr:uid="{3325B847-35CE-4201-9D28-75A66F698A6F}">
      <formula1>0.0000000000001</formula1>
    </dataValidation>
  </dataValidations>
  <printOptions horizontalCentered="1"/>
  <pageMargins left="0" right="0" top="0.74803149606299213" bottom="0.35433070866141736" header="0.31496062992125984" footer="0.31496062992125984"/>
  <pageSetup paperSize="9" scale="71" orientation="portrait" r:id="rId1"/>
  <ignoredErrors>
    <ignoredError sqref="C12:C14 G18:H25" unlockedFormula="1"/>
  </ignoredErrors>
  <drawing r:id="rId2"/>
  <extLst>
    <ext xmlns:x14="http://schemas.microsoft.com/office/spreadsheetml/2009/9/main" uri="{CCE6A557-97BC-4b89-ADB6-D9C93CAAB3DF}">
      <x14:dataValidations xmlns:xm="http://schemas.microsoft.com/office/excel/2006/main" xWindow="630" yWindow="532" count="9">
        <x14:dataValidation type="list" allowBlank="1" showInputMessage="1" showErrorMessage="1" xr:uid="{864A1D2E-D59E-4C8B-A844-0E9DCF76FB89}">
          <x14:formula1>
            <xm:f>'Validation Table'!$B$3:$B$6</xm:f>
          </x14:formula1>
          <xm:sqref>D28</xm:sqref>
        </x14:dataValidation>
        <x14:dataValidation type="list" allowBlank="1" showInputMessage="1" showErrorMessage="1" xr:uid="{9B3A2CB6-F817-4B41-8315-46F39248E791}">
          <x14:formula1>
            <xm:f>'Validation Table'!$C$3:$C$17</xm:f>
          </x14:formula1>
          <xm:sqref>C30:D30</xm:sqref>
        </x14:dataValidation>
        <x14:dataValidation type="list" allowBlank="1" showInputMessage="1" showErrorMessage="1" xr:uid="{BC33F3AA-E9F9-4B70-A901-989EDE4672D6}">
          <x14:formula1>
            <xm:f>'Validation Table'!$E$3:$E$7</xm:f>
          </x14:formula1>
          <xm:sqref>D31</xm:sqref>
        </x14:dataValidation>
        <x14:dataValidation type="list" allowBlank="1" showInputMessage="1" showErrorMessage="1" xr:uid="{A43667A0-1A9D-4071-8EB3-AF87948F3CF9}">
          <x14:formula1>
            <xm:f>'Validation Table'!$F$3:$F$8</xm:f>
          </x14:formula1>
          <xm:sqref>D32</xm:sqref>
        </x14:dataValidation>
        <x14:dataValidation type="list" allowBlank="1" showInputMessage="1" showErrorMessage="1" xr:uid="{3AE80597-92B9-4A4F-BD1E-1D0B01FDFBC4}">
          <x14:formula1>
            <xm:f>'Validation Table'!$H$3:$H$11</xm:f>
          </x14:formula1>
          <xm:sqref>D70 H49 D49 H70</xm:sqref>
        </x14:dataValidation>
        <x14:dataValidation type="list" allowBlank="1" showInputMessage="1" showErrorMessage="1" xr:uid="{0FEC9CE4-6562-475E-A5B2-92A33EB7FEE3}">
          <x14:formula1>
            <xm:f>'Validation Table'!$D$3:$D$7</xm:f>
          </x14:formula1>
          <xm:sqref>D29</xm:sqref>
        </x14:dataValidation>
        <x14:dataValidation type="list" allowBlank="1" showInputMessage="1" showErrorMessage="1" xr:uid="{E849D880-24BB-42C9-94A3-C1B25C780EC4}">
          <x14:formula1>
            <xm:f>'0. PortfolioAgencyLinks'!$T$1:$T$193</xm:f>
          </x14:formula1>
          <xm:sqref>C13:C14</xm:sqref>
        </x14:dataValidation>
        <x14:dataValidation type="list" allowBlank="1" showInputMessage="1" showErrorMessage="1" xr:uid="{E7AB24CD-FD8E-4D11-87CB-DDFCE4846056}">
          <x14:formula1>
            <xm:f>'Validation Table'!$I$3:$I$8</xm:f>
          </x14:formula1>
          <xm:sqref>C53:D53 G53:H53 G74:H74 C74:D74</xm:sqref>
        </x14:dataValidation>
        <x14:dataValidation type="list" allowBlank="1" showInputMessage="1" showErrorMessage="1" prompt="Agency fields will be automatically filled from Benefit Profile 1. Please change if different." xr:uid="{5CC5527A-A66B-4E28-9019-7839E42671A8}">
          <x14:formula1>
            <xm:f>'0. PortfolioAgencyLinks'!$T$1:$T$193</xm:f>
          </x14:formula1>
          <xm:sqref>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0642-9FDE-41BF-95A4-AE167BDAFCE5}">
  <sheetPr>
    <tabColor rgb="FFC8EBD7"/>
    <pageSetUpPr fitToPage="1"/>
  </sheetPr>
  <dimension ref="A1:O143"/>
  <sheetViews>
    <sheetView zoomScale="90" zoomScaleNormal="90" workbookViewId="0">
      <selection activeCell="C10" sqref="C10"/>
    </sheetView>
  </sheetViews>
  <sheetFormatPr defaultColWidth="9.1796875" defaultRowHeight="14.5" outlineLevelCol="1" x14ac:dyDescent="0.35"/>
  <cols>
    <col min="1" max="1" width="2" style="3" customWidth="1"/>
    <col min="2" max="3" width="45.7265625" style="3" customWidth="1"/>
    <col min="4" max="4" width="45.7265625" style="55" hidden="1" customWidth="1" outlineLevel="1"/>
    <col min="5" max="5" width="5.7265625" style="3" customWidth="1" collapsed="1"/>
    <col min="6" max="6" width="45.7265625" style="55" customWidth="1"/>
    <col min="7" max="7" width="45.7265625" style="3" customWidth="1"/>
    <col min="8" max="8" width="45.7265625" style="55"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42"/>
      <c r="D1" s="42"/>
      <c r="E1" s="42"/>
      <c r="F1" s="42"/>
      <c r="G1" s="42"/>
      <c r="H1" s="42"/>
    </row>
    <row r="2" spans="1:15" x14ac:dyDescent="0.35">
      <c r="A2" s="42"/>
      <c r="B2" s="42"/>
      <c r="C2" s="42"/>
      <c r="D2" s="42"/>
      <c r="E2" s="42"/>
      <c r="F2" s="42"/>
      <c r="G2" s="42"/>
      <c r="H2" s="42"/>
    </row>
    <row r="3" spans="1:15" x14ac:dyDescent="0.35">
      <c r="A3" s="42"/>
      <c r="B3" s="42"/>
      <c r="C3" s="42"/>
      <c r="D3" s="42"/>
      <c r="E3" s="42"/>
      <c r="F3" s="42"/>
      <c r="G3" s="42"/>
      <c r="H3" s="42"/>
    </row>
    <row r="4" spans="1:15" ht="42" customHeight="1" x14ac:dyDescent="0.35">
      <c r="A4" s="42"/>
      <c r="B4" s="42"/>
      <c r="C4" s="42"/>
      <c r="D4" s="42"/>
      <c r="E4" s="42"/>
      <c r="F4" s="42"/>
      <c r="G4" s="42"/>
      <c r="H4" s="42"/>
    </row>
    <row r="5" spans="1:15" ht="46" x14ac:dyDescent="0.35">
      <c r="A5" s="42"/>
      <c r="B5" s="204" t="s">
        <v>199</v>
      </c>
      <c r="C5" s="57"/>
      <c r="D5" s="152"/>
      <c r="E5" s="56"/>
      <c r="F5" s="56"/>
      <c r="G5" s="42"/>
      <c r="H5" s="42"/>
    </row>
    <row r="6" spans="1:15" x14ac:dyDescent="0.35">
      <c r="A6" s="42"/>
      <c r="B6" s="42"/>
      <c r="C6" s="42"/>
      <c r="D6" s="42"/>
      <c r="E6" s="42"/>
      <c r="F6" s="42"/>
      <c r="G6" s="42"/>
      <c r="H6" s="42"/>
    </row>
    <row r="7" spans="1:15" ht="15" customHeight="1" x14ac:dyDescent="0.35">
      <c r="A7" s="42"/>
      <c r="B7" s="56"/>
      <c r="C7" s="152"/>
      <c r="D7" s="153"/>
      <c r="E7" s="43"/>
      <c r="F7" s="43"/>
      <c r="G7" s="147"/>
      <c r="H7" s="147"/>
    </row>
    <row r="8" spans="1:15" ht="15" customHeight="1" x14ac:dyDescent="0.35">
      <c r="A8" s="42"/>
      <c r="B8" s="42"/>
      <c r="C8" s="147"/>
      <c r="D8" s="147"/>
      <c r="E8" s="43"/>
      <c r="F8" s="43"/>
      <c r="G8" s="147"/>
      <c r="H8" s="147"/>
    </row>
    <row r="9" spans="1:15" s="4" customFormat="1" ht="15" customHeight="1" x14ac:dyDescent="0.35">
      <c r="A9" s="44"/>
      <c r="B9" s="45" t="s">
        <v>103</v>
      </c>
      <c r="C9" s="199"/>
      <c r="D9" s="147"/>
      <c r="E9" s="43"/>
      <c r="F9" s="43"/>
      <c r="G9" s="147"/>
      <c r="H9" s="147"/>
      <c r="J9" s="3"/>
      <c r="K9" s="3"/>
      <c r="L9" s="3"/>
      <c r="M9" s="3"/>
      <c r="N9" s="3"/>
      <c r="O9" s="3"/>
    </row>
    <row r="10" spans="1:15" ht="15" customHeight="1" x14ac:dyDescent="0.35">
      <c r="A10" s="42"/>
      <c r="B10" s="88" t="s">
        <v>29</v>
      </c>
      <c r="C10" s="92">
        <f>'Benefit Profile 1'!$C$10</f>
        <v>0</v>
      </c>
      <c r="D10" s="147"/>
      <c r="E10" s="43"/>
      <c r="F10" s="43"/>
      <c r="G10" s="147"/>
      <c r="H10" s="147"/>
    </row>
    <row r="11" spans="1:15" ht="15" customHeight="1" x14ac:dyDescent="0.35">
      <c r="A11" s="42"/>
      <c r="B11" s="90" t="s">
        <v>30</v>
      </c>
      <c r="C11" s="92">
        <f>'Benefit Profile 1'!$C$11</f>
        <v>0</v>
      </c>
      <c r="D11" s="147"/>
      <c r="E11" s="43"/>
      <c r="F11" s="43"/>
      <c r="G11" s="147"/>
      <c r="H11" s="147"/>
    </row>
    <row r="12" spans="1:15" ht="15" customHeight="1" x14ac:dyDescent="0.35">
      <c r="A12" s="42"/>
      <c r="B12" s="90" t="s">
        <v>31</v>
      </c>
      <c r="C12" s="97" t="str">
        <f>'Benefit Profile 1'!$C$12</f>
        <v>Please select</v>
      </c>
      <c r="D12" s="147"/>
      <c r="E12" s="43"/>
      <c r="F12" s="43"/>
      <c r="G12" s="147"/>
      <c r="H12" s="147"/>
    </row>
    <row r="13" spans="1:15" ht="15" customHeight="1" x14ac:dyDescent="0.35">
      <c r="A13" s="42"/>
      <c r="B13" s="90" t="s">
        <v>33</v>
      </c>
      <c r="C13" s="97" t="str">
        <f>'Benefit Profile 1'!$C$13</f>
        <v>Please select</v>
      </c>
      <c r="D13" s="147"/>
      <c r="E13" s="43"/>
      <c r="F13" s="43"/>
      <c r="G13" s="147"/>
      <c r="H13" s="147"/>
    </row>
    <row r="14" spans="1:15" ht="30" customHeight="1" x14ac:dyDescent="0.35">
      <c r="A14" s="42"/>
      <c r="B14" s="91" t="s">
        <v>105</v>
      </c>
      <c r="C14" s="97" t="str">
        <f>'Benefit Profile 1'!$C$14</f>
        <v>Please select</v>
      </c>
      <c r="D14" s="147"/>
      <c r="E14" s="43"/>
      <c r="F14" s="43"/>
      <c r="G14" s="147"/>
      <c r="H14" s="147"/>
    </row>
    <row r="15" spans="1:15" ht="15" customHeight="1" x14ac:dyDescent="0.35">
      <c r="A15" s="42"/>
      <c r="B15" s="43"/>
      <c r="C15" s="147"/>
      <c r="D15" s="147"/>
      <c r="E15" s="43"/>
      <c r="F15" s="43"/>
      <c r="G15" s="147"/>
      <c r="H15" s="147"/>
    </row>
    <row r="16" spans="1:15" ht="15" customHeight="1" x14ac:dyDescent="0.35">
      <c r="A16" s="42"/>
      <c r="B16" s="43"/>
      <c r="C16" s="147"/>
      <c r="D16" s="147"/>
      <c r="E16" s="43"/>
      <c r="F16" s="43"/>
      <c r="G16" s="147"/>
      <c r="H16" s="147"/>
    </row>
    <row r="17" spans="1:15" s="4" customFormat="1" ht="15" customHeight="1" x14ac:dyDescent="0.35">
      <c r="A17" s="44"/>
      <c r="B17" s="47" t="s">
        <v>42</v>
      </c>
      <c r="C17" s="195"/>
      <c r="D17" s="154" t="s">
        <v>106</v>
      </c>
      <c r="E17" s="49"/>
      <c r="F17" s="47" t="s">
        <v>107</v>
      </c>
      <c r="G17" s="195"/>
      <c r="H17" s="148" t="s">
        <v>106</v>
      </c>
      <c r="J17" s="3"/>
      <c r="K17" s="3"/>
      <c r="L17" s="3"/>
      <c r="M17" s="3"/>
      <c r="N17" s="3"/>
      <c r="O17" s="3"/>
    </row>
    <row r="18" spans="1:15" s="30" customFormat="1" ht="15" customHeight="1" x14ac:dyDescent="0.35">
      <c r="A18" s="50"/>
      <c r="B18" s="54" t="s">
        <v>38</v>
      </c>
      <c r="C18" s="76" t="str">
        <f>IF(AND(LEFT(C10, 4)="INV-", ISNUMBER(VALUE(MID(C10, 5, LEN(C10)-4)))), C10 &amp; "-" &amp; VLOOKUP("Benefit Profile 6", BenefitNumbering[#All], 2, FALSE), "")</f>
        <v/>
      </c>
      <c r="D18" s="76" t="str">
        <f>IF(AND(LEFT(C10, 4)="INV-", ISNUMBER(VALUE(MID(C10, 5, LEN(C10)-4)))), C10 &amp; "-" &amp; VLOOKUP("Benefit Profile 6", BenefitNumberingVar[#All], 2, FALSE), "")</f>
        <v/>
      </c>
      <c r="E18" s="51"/>
      <c r="F18" s="54" t="s">
        <v>108</v>
      </c>
      <c r="G18" s="118">
        <f>'Benefit Profile 1'!$G$18</f>
        <v>0</v>
      </c>
      <c r="H18" s="197">
        <f>'Benefit Profile 1'!$H$18</f>
        <v>0</v>
      </c>
      <c r="J18" s="3"/>
      <c r="K18" s="3"/>
      <c r="L18" s="3"/>
      <c r="M18" s="3"/>
      <c r="N18" s="3"/>
      <c r="O18" s="3"/>
    </row>
    <row r="19" spans="1:15" ht="15" customHeight="1" x14ac:dyDescent="0.35">
      <c r="A19" s="42"/>
      <c r="B19" s="85" t="s">
        <v>109</v>
      </c>
      <c r="C19" s="41"/>
      <c r="D19" s="150"/>
      <c r="E19" s="43"/>
      <c r="F19" s="86" t="s">
        <v>110</v>
      </c>
      <c r="G19" s="118">
        <f>'Benefit Profile 1'!$G$19</f>
        <v>0</v>
      </c>
      <c r="H19" s="197">
        <f>'Benefit Profile 1'!$H$19</f>
        <v>0</v>
      </c>
    </row>
    <row r="20" spans="1:15" ht="15" customHeight="1" x14ac:dyDescent="0.35">
      <c r="A20" s="42"/>
      <c r="B20" s="85" t="s">
        <v>41</v>
      </c>
      <c r="C20" s="41"/>
      <c r="D20" s="150"/>
      <c r="E20" s="43"/>
      <c r="F20" s="86" t="s">
        <v>46</v>
      </c>
      <c r="G20" s="118">
        <f>'Benefit Profile 1'!$G$20</f>
        <v>0</v>
      </c>
      <c r="H20" s="197">
        <f>'Benefit Profile 1'!$H$20</f>
        <v>0</v>
      </c>
    </row>
    <row r="21" spans="1:15" ht="15" customHeight="1" x14ac:dyDescent="0.35">
      <c r="A21" s="42"/>
      <c r="B21" s="242" t="s">
        <v>42</v>
      </c>
      <c r="C21" s="241"/>
      <c r="D21" s="233"/>
      <c r="E21" s="43"/>
      <c r="F21" s="86" t="s">
        <v>111</v>
      </c>
      <c r="G21" s="99"/>
      <c r="H21" s="170"/>
    </row>
    <row r="22" spans="1:15" ht="15" customHeight="1" x14ac:dyDescent="0.35">
      <c r="A22" s="42"/>
      <c r="B22" s="243"/>
      <c r="C22" s="241"/>
      <c r="D22" s="235"/>
      <c r="E22" s="43"/>
      <c r="F22" s="86" t="s">
        <v>112</v>
      </c>
      <c r="G22" s="97">
        <f>'Benefit Profile 1'!$G$22</f>
        <v>0</v>
      </c>
      <c r="H22" s="97">
        <f>'Benefit Profile 1'!$H$22</f>
        <v>0</v>
      </c>
    </row>
    <row r="23" spans="1:15" ht="15" customHeight="1" x14ac:dyDescent="0.35">
      <c r="A23" s="42"/>
      <c r="B23" s="243"/>
      <c r="C23" s="241"/>
      <c r="D23" s="235"/>
      <c r="E23" s="43"/>
      <c r="F23" s="86" t="s">
        <v>113</v>
      </c>
      <c r="G23" s="99"/>
      <c r="H23" s="170"/>
    </row>
    <row r="24" spans="1:15" ht="15" customHeight="1" x14ac:dyDescent="0.35">
      <c r="A24" s="42"/>
      <c r="B24" s="243"/>
      <c r="C24" s="241"/>
      <c r="D24" s="235"/>
      <c r="E24" s="43"/>
      <c r="F24" s="242" t="s">
        <v>48</v>
      </c>
      <c r="G24" s="237"/>
      <c r="H24" s="233"/>
    </row>
    <row r="25" spans="1:15" ht="15" customHeight="1" x14ac:dyDescent="0.35">
      <c r="A25" s="42"/>
      <c r="B25" s="244"/>
      <c r="C25" s="238"/>
      <c r="D25" s="236"/>
      <c r="E25" s="43"/>
      <c r="F25" s="244"/>
      <c r="G25" s="238"/>
      <c r="H25" s="236"/>
    </row>
    <row r="26" spans="1:15" s="4" customFormat="1" ht="15" customHeight="1" x14ac:dyDescent="0.35">
      <c r="A26" s="44"/>
      <c r="B26" s="52"/>
      <c r="C26" s="147"/>
      <c r="D26" s="147"/>
      <c r="E26" s="43"/>
      <c r="F26" s="43"/>
      <c r="G26" s="147"/>
      <c r="H26" s="151"/>
      <c r="J26" s="3"/>
      <c r="K26" s="3"/>
      <c r="L26" s="3"/>
      <c r="M26" s="3"/>
      <c r="N26" s="3"/>
      <c r="O26" s="3"/>
    </row>
    <row r="27" spans="1:15" ht="15" customHeight="1" x14ac:dyDescent="0.35">
      <c r="A27" s="42"/>
      <c r="B27" s="47" t="s">
        <v>50</v>
      </c>
      <c r="C27" s="195"/>
      <c r="D27" s="148" t="s">
        <v>106</v>
      </c>
      <c r="E27" s="53"/>
      <c r="F27" s="47" t="s">
        <v>114</v>
      </c>
      <c r="G27" s="195"/>
      <c r="H27" s="148" t="s">
        <v>106</v>
      </c>
    </row>
    <row r="28" spans="1:15" ht="15" customHeight="1" x14ac:dyDescent="0.35">
      <c r="A28" s="42"/>
      <c r="B28" s="54" t="s">
        <v>51</v>
      </c>
      <c r="C28" s="41" t="s">
        <v>104</v>
      </c>
      <c r="D28" s="149" t="s">
        <v>104</v>
      </c>
      <c r="E28" s="43"/>
      <c r="F28" s="54" t="s">
        <v>62</v>
      </c>
      <c r="G28" s="75" t="str">
        <f>IF(AND($C$46="",$G$46="",$C$67="",$G$67=""),"",MIN($C$46,$G$46,$C$67,$G$67))</f>
        <v/>
      </c>
      <c r="H28" s="75" t="str">
        <f>IF(AND(D46="",$H$46="",$D$67="",$H$67=""),"",MIN($D$46,$H$46,$D$67,$H$67))</f>
        <v/>
      </c>
    </row>
    <row r="29" spans="1:15" ht="15" customHeight="1" x14ac:dyDescent="0.35">
      <c r="A29" s="42"/>
      <c r="B29" s="54" t="s">
        <v>53</v>
      </c>
      <c r="C29" s="41" t="s">
        <v>104</v>
      </c>
      <c r="D29" s="149" t="s">
        <v>104</v>
      </c>
      <c r="E29" s="43"/>
      <c r="F29" s="54" t="s">
        <v>64</v>
      </c>
      <c r="G29" s="75" t="str">
        <f>IF(AND($C$47="",$G$47="",$C$68="",$G$68=""),"",MAX($C$47,$G$47,$C$68,$G$68))</f>
        <v/>
      </c>
      <c r="H29" s="75" t="str">
        <f>IF(AND($D$47="",$H$47="",$D$68="",$H$68=""),"",MAX($D$47,$H$47,$D$68,$H$68))</f>
        <v/>
      </c>
    </row>
    <row r="30" spans="1:15" ht="15" customHeight="1" x14ac:dyDescent="0.35">
      <c r="A30" s="42"/>
      <c r="B30" s="54" t="s">
        <v>55</v>
      </c>
      <c r="C30" s="41" t="s">
        <v>104</v>
      </c>
      <c r="D30" s="149" t="s">
        <v>104</v>
      </c>
      <c r="E30" s="43"/>
      <c r="F30" s="119" t="s">
        <v>66</v>
      </c>
      <c r="G30" s="120" t="str">
        <f>IF(VLOOKUP($C$140,MeasureConfidence[[#All],[Confidence Score]:[Cross Ref]],2,FALSE)=0,"",VLOOKUP($C$140,MeasureConfidence[[#All],[Confidence Score]:[Cross Ref]],2,FALSE))</f>
        <v/>
      </c>
      <c r="H30" s="120" t="str">
        <f>IF(VLOOKUP($G$140,MeasureConfidence[[#All],[Confidence Score]:[Cross Ref]],2,FALSE)=0,"",VLOOKUP($G$140,MeasureConfidence[[#All],[Confidence Score]:[Cross Ref]],2,FALSE))</f>
        <v/>
      </c>
    </row>
    <row r="31" spans="1:15" ht="15" customHeight="1" x14ac:dyDescent="0.35">
      <c r="A31" s="42"/>
      <c r="B31" s="54" t="s">
        <v>57</v>
      </c>
      <c r="C31" s="41" t="s">
        <v>104</v>
      </c>
      <c r="D31" s="149" t="s">
        <v>104</v>
      </c>
      <c r="E31" s="43"/>
      <c r="F31" s="43"/>
      <c r="G31" s="147"/>
      <c r="H31" s="147"/>
    </row>
    <row r="32" spans="1:15" ht="15" customHeight="1" x14ac:dyDescent="0.35">
      <c r="A32" s="42"/>
      <c r="B32" s="74" t="s">
        <v>59</v>
      </c>
      <c r="C32" s="84" t="s">
        <v>104</v>
      </c>
      <c r="D32" s="155" t="s">
        <v>104</v>
      </c>
      <c r="E32" s="43"/>
      <c r="F32" s="43"/>
      <c r="G32" s="147"/>
      <c r="H32" s="147"/>
    </row>
    <row r="33" spans="1:8" ht="15" customHeight="1" x14ac:dyDescent="0.35">
      <c r="A33" s="42"/>
      <c r="B33" s="52"/>
      <c r="C33" s="147"/>
      <c r="D33" s="147"/>
      <c r="E33" s="43"/>
      <c r="F33" s="43"/>
      <c r="G33" s="147"/>
      <c r="H33" s="147"/>
    </row>
    <row r="34" spans="1:8" ht="15" customHeight="1" x14ac:dyDescent="0.35">
      <c r="A34" s="42"/>
      <c r="B34" s="47" t="s">
        <v>115</v>
      </c>
      <c r="C34" s="195"/>
      <c r="D34" s="154" t="s">
        <v>106</v>
      </c>
      <c r="E34" s="43"/>
      <c r="F34" s="47" t="s">
        <v>116</v>
      </c>
      <c r="G34" s="195"/>
      <c r="H34" s="148" t="s">
        <v>106</v>
      </c>
    </row>
    <row r="35" spans="1:8" ht="15" customHeight="1" x14ac:dyDescent="0.35">
      <c r="A35" s="42"/>
      <c r="B35" s="54" t="s">
        <v>69</v>
      </c>
      <c r="C35" s="76" t="str">
        <f>IF(AND(LEFT($C$10, 4)="INV-", ISNUMBER(VALUE(MID($C$10, 5, LEN($C$10)-4))), $C$36&lt;&gt;""), $C$10 &amp; "-" &amp; VLOOKUP("Benefit Profile 6", BenefitNumbering[#All], 2, FALSE) &amp; "-1", "")</f>
        <v/>
      </c>
      <c r="D35" s="76" t="str">
        <f>IF(AND(LEFT($C$10, 4)="INV-", ISNUMBER(VALUE(MID($C$10, 5, LEN($C$10)-4))), $D$36&lt;&gt;""), $C$10 &amp; "-" &amp; VLOOKUP("Benefit Profile 6", BenefitNumberingVar[#All], 2, FALSE) &amp; "-1", "")</f>
        <v/>
      </c>
      <c r="E35" s="43"/>
      <c r="F35" s="54" t="s">
        <v>69</v>
      </c>
      <c r="G35" s="76" t="str">
        <f>IF(AND(LEFT($C$10, 4)="INV-", ISNUMBER(VALUE(MID($C$10, 5, LEN($C$10)-4))), $G$36&lt;&gt;""), $C$10 &amp; "-" &amp; VLOOKUP("Benefit Profile 6", BenefitNumbering[#All], 2, FALSE) &amp; "-2", "")</f>
        <v/>
      </c>
      <c r="H35" s="76" t="str">
        <f>IF(AND(LEFT($C$10, 4)="INV-", ISNUMBER(VALUE(MID($C$10, 5, LEN($C$10)-4))), $H$36&lt;&gt;""), $C$10 &amp; "-" &amp; VLOOKUP("Benefit Profile 6", BenefitNumberingVar[#All], 2, FALSE) &amp; "-2", "")</f>
        <v/>
      </c>
    </row>
    <row r="36" spans="1:8" ht="15" customHeight="1" x14ac:dyDescent="0.35">
      <c r="A36" s="42"/>
      <c r="B36" s="54" t="s">
        <v>117</v>
      </c>
      <c r="C36" s="169"/>
      <c r="D36" s="143"/>
      <c r="E36" s="43"/>
      <c r="F36" s="54" t="s">
        <v>117</v>
      </c>
      <c r="G36" s="169"/>
      <c r="H36" s="143"/>
    </row>
    <row r="37" spans="1:8" ht="15" customHeight="1" x14ac:dyDescent="0.35">
      <c r="A37" s="42"/>
      <c r="B37" s="54" t="s">
        <v>72</v>
      </c>
      <c r="C37" s="169"/>
      <c r="D37" s="143"/>
      <c r="E37" s="43"/>
      <c r="F37" s="54" t="s">
        <v>72</v>
      </c>
      <c r="G37" s="169"/>
      <c r="H37" s="143"/>
    </row>
    <row r="38" spans="1:8" ht="15" customHeight="1" x14ac:dyDescent="0.35">
      <c r="A38" s="42"/>
      <c r="B38" s="115" t="s">
        <v>74</v>
      </c>
      <c r="C38" s="169"/>
      <c r="D38" s="143"/>
      <c r="E38" s="43"/>
      <c r="F38" s="54" t="s">
        <v>74</v>
      </c>
      <c r="G38" s="169"/>
      <c r="H38" s="143"/>
    </row>
    <row r="39" spans="1:8" ht="15" customHeight="1" x14ac:dyDescent="0.35">
      <c r="A39" s="42"/>
      <c r="B39" s="54" t="s">
        <v>76</v>
      </c>
      <c r="C39" s="169"/>
      <c r="D39" s="143"/>
      <c r="E39" s="43"/>
      <c r="F39" s="54" t="s">
        <v>76</v>
      </c>
      <c r="G39" s="169"/>
      <c r="H39" s="143"/>
    </row>
    <row r="40" spans="1:8" ht="15" customHeight="1" x14ac:dyDescent="0.35">
      <c r="A40" s="42"/>
      <c r="B40" s="54" t="s">
        <v>78</v>
      </c>
      <c r="C40" s="169"/>
      <c r="D40" s="143"/>
      <c r="E40" s="43"/>
      <c r="F40" s="54" t="s">
        <v>78</v>
      </c>
      <c r="G40" s="169"/>
      <c r="H40" s="143"/>
    </row>
    <row r="41" spans="1:8" ht="15" customHeight="1" x14ac:dyDescent="0.35">
      <c r="A41" s="42"/>
      <c r="B41" s="115" t="s">
        <v>439</v>
      </c>
      <c r="C41" s="169" t="s">
        <v>104</v>
      </c>
      <c r="D41" s="143" t="s">
        <v>104</v>
      </c>
      <c r="E41" s="43"/>
      <c r="F41" s="115" t="s">
        <v>439</v>
      </c>
      <c r="G41" s="169" t="s">
        <v>104</v>
      </c>
      <c r="H41" s="143"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438</v>
      </c>
      <c r="C45" s="116">
        <f>C44-C43</f>
        <v>0</v>
      </c>
      <c r="D45" s="116">
        <f>D44-D43</f>
        <v>0</v>
      </c>
      <c r="E45" s="43"/>
      <c r="F45" s="54" t="s">
        <v>438</v>
      </c>
      <c r="G45" s="116">
        <f>G44-G43</f>
        <v>0</v>
      </c>
      <c r="H45" s="116">
        <f>H44-H43</f>
        <v>0</v>
      </c>
    </row>
    <row r="46" spans="1:8" ht="15" customHeight="1" x14ac:dyDescent="0.35">
      <c r="A46" s="42"/>
      <c r="B46" s="54" t="s">
        <v>119</v>
      </c>
      <c r="C46" s="171"/>
      <c r="D46" s="132"/>
      <c r="E46" s="43"/>
      <c r="F46" s="54" t="s">
        <v>119</v>
      </c>
      <c r="G46" s="171"/>
      <c r="H46" s="132"/>
    </row>
    <row r="47" spans="1:8" ht="15" customHeight="1" x14ac:dyDescent="0.35">
      <c r="A47" s="42"/>
      <c r="B47" s="54" t="s">
        <v>120</v>
      </c>
      <c r="C47" s="171"/>
      <c r="D47" s="132"/>
      <c r="E47" s="43"/>
      <c r="F47" s="54" t="s">
        <v>120</v>
      </c>
      <c r="G47" s="171"/>
      <c r="H47" s="132"/>
    </row>
    <row r="48" spans="1:8" ht="15" customHeight="1" x14ac:dyDescent="0.35">
      <c r="A48" s="42"/>
      <c r="B48" s="54" t="s">
        <v>121</v>
      </c>
      <c r="C48" s="98"/>
      <c r="D48" s="144"/>
      <c r="E48" s="43"/>
      <c r="F48" s="54" t="s">
        <v>121</v>
      </c>
      <c r="G48" s="98"/>
      <c r="H48" s="144"/>
    </row>
    <row r="49" spans="1:8" ht="15" customHeight="1" x14ac:dyDescent="0.35">
      <c r="A49" s="42"/>
      <c r="B49" s="54" t="s">
        <v>92</v>
      </c>
      <c r="C49" s="81" t="s">
        <v>104</v>
      </c>
      <c r="D49" s="145" t="s">
        <v>104</v>
      </c>
      <c r="E49" s="43"/>
      <c r="F49" s="54" t="s">
        <v>92</v>
      </c>
      <c r="G49" s="81" t="s">
        <v>104</v>
      </c>
      <c r="H49" s="145"/>
    </row>
    <row r="50" spans="1:8" ht="15" customHeight="1" x14ac:dyDescent="0.35">
      <c r="A50" s="42"/>
      <c r="B50" s="54" t="s">
        <v>98</v>
      </c>
      <c r="C50" s="82"/>
      <c r="D50" s="145"/>
      <c r="E50" s="43"/>
      <c r="F50" s="54" t="s">
        <v>98</v>
      </c>
      <c r="G50" s="82"/>
      <c r="H50" s="145"/>
    </row>
    <row r="51" spans="1:8" ht="15" customHeight="1" x14ac:dyDescent="0.35">
      <c r="A51" s="42"/>
      <c r="B51" s="54" t="s">
        <v>94</v>
      </c>
      <c r="C51" s="82"/>
      <c r="D51" s="145"/>
      <c r="E51" s="43"/>
      <c r="F51" s="54" t="s">
        <v>94</v>
      </c>
      <c r="G51" s="82"/>
      <c r="H51" s="145"/>
    </row>
    <row r="52" spans="1:8" ht="15" customHeight="1" x14ac:dyDescent="0.35">
      <c r="A52" s="42"/>
      <c r="B52" s="54" t="s">
        <v>96</v>
      </c>
      <c r="C52" s="82"/>
      <c r="D52" s="146"/>
      <c r="E52" s="43"/>
      <c r="F52" s="54" t="s">
        <v>96</v>
      </c>
      <c r="G52" s="82"/>
      <c r="H52" s="146"/>
    </row>
    <row r="53" spans="1:8" ht="15" customHeight="1" x14ac:dyDescent="0.35">
      <c r="A53" s="42"/>
      <c r="B53" s="77" t="s">
        <v>100</v>
      </c>
      <c r="C53" s="83" t="s">
        <v>104</v>
      </c>
      <c r="D53" s="188" t="s">
        <v>104</v>
      </c>
      <c r="E53" s="43"/>
      <c r="F53" s="77" t="s">
        <v>100</v>
      </c>
      <c r="G53" s="83" t="s">
        <v>104</v>
      </c>
      <c r="H53" s="188" t="s">
        <v>104</v>
      </c>
    </row>
    <row r="54" spans="1:8" ht="15" customHeight="1" x14ac:dyDescent="0.35">
      <c r="A54" s="42"/>
      <c r="B54" s="52"/>
      <c r="C54" s="147"/>
      <c r="D54" s="147"/>
      <c r="E54" s="43"/>
      <c r="F54" s="43"/>
      <c r="G54" s="147"/>
      <c r="H54" s="147"/>
    </row>
    <row r="55" spans="1:8" ht="15" customHeight="1" x14ac:dyDescent="0.35">
      <c r="A55" s="42"/>
      <c r="B55" s="47" t="s">
        <v>122</v>
      </c>
      <c r="C55" s="195"/>
      <c r="D55" s="148" t="s">
        <v>106</v>
      </c>
      <c r="E55" s="43"/>
      <c r="F55" s="47" t="s">
        <v>123</v>
      </c>
      <c r="G55" s="195"/>
      <c r="H55" s="148" t="s">
        <v>106</v>
      </c>
    </row>
    <row r="56" spans="1:8" ht="15" customHeight="1" x14ac:dyDescent="0.35">
      <c r="A56" s="42"/>
      <c r="B56" s="54" t="s">
        <v>69</v>
      </c>
      <c r="C56" s="76" t="str">
        <f>IF(AND(LEFT($C$10, 4)="INV-", ISNUMBER(VALUE(MID($C$10, 5, LEN($C$10)-4))), $C$57&lt;&gt;""), $C$10 &amp; "-" &amp; VLOOKUP("Benefit Profile 6", BenefitNumbering[#All], 2, FALSE) &amp; "-3", "")</f>
        <v/>
      </c>
      <c r="D56" s="76" t="str">
        <f>IF(AND(LEFT($C$10, 4)="INV-", ISNUMBER(VALUE(MID($C$10, 5, LEN($C$10)-4))), $D$57&lt;&gt;""), $C$10 &amp; "-" &amp; VLOOKUP("Benefit Profile 6", BenefitNumberingVar[#All], 2, FALSE) &amp; "-3", "")</f>
        <v/>
      </c>
      <c r="E56" s="43"/>
      <c r="F56" s="54" t="s">
        <v>69</v>
      </c>
      <c r="G56" s="76" t="str">
        <f>IF(AND(LEFT($C$10, 4)="INV-", ISNUMBER(VALUE(MID($C$10, 5, LEN($C$10)-4))), $G$57&lt;&gt;""), $C$10 &amp; "-" &amp; VLOOKUP("Benefit Profile 6", BenefitNumbering[#All], 2, FALSE) &amp; "-4", "")</f>
        <v/>
      </c>
      <c r="H56" s="76" t="str">
        <f>IF(AND(LEFT($C$10, 4)="INV-", ISNUMBER(VALUE(MID($C$10, 5, LEN($C$10)-4))), $H$57&lt;&gt;""), $C$10 &amp; "-" &amp; VLOOKUP("Benefit Profile 6", BenefitNumberingVar[#All], 2, FALSE) &amp; "-4", "")</f>
        <v/>
      </c>
    </row>
    <row r="57" spans="1:8" ht="15" customHeight="1" x14ac:dyDescent="0.35">
      <c r="A57" s="55"/>
      <c r="B57" s="54" t="s">
        <v>117</v>
      </c>
      <c r="C57" s="169"/>
      <c r="D57" s="143"/>
      <c r="E57" s="78"/>
      <c r="F57" s="54" t="s">
        <v>117</v>
      </c>
      <c r="G57" s="169"/>
      <c r="H57" s="143"/>
    </row>
    <row r="58" spans="1:8" ht="15" customHeight="1" x14ac:dyDescent="0.35">
      <c r="A58" s="55"/>
      <c r="B58" s="54" t="s">
        <v>72</v>
      </c>
      <c r="C58" s="169"/>
      <c r="D58" s="143"/>
      <c r="E58" s="43"/>
      <c r="F58" s="54" t="s">
        <v>72</v>
      </c>
      <c r="G58" s="169"/>
      <c r="H58" s="143"/>
    </row>
    <row r="59" spans="1:8" ht="15" customHeight="1" x14ac:dyDescent="0.35">
      <c r="A59" s="55"/>
      <c r="B59" s="54" t="s">
        <v>74</v>
      </c>
      <c r="C59" s="169"/>
      <c r="D59" s="143"/>
      <c r="E59" s="43"/>
      <c r="F59" s="54" t="s">
        <v>74</v>
      </c>
      <c r="G59" s="169"/>
      <c r="H59" s="143"/>
    </row>
    <row r="60" spans="1:8" ht="15" customHeight="1" x14ac:dyDescent="0.35">
      <c r="A60" s="55"/>
      <c r="B60" s="54" t="s">
        <v>76</v>
      </c>
      <c r="C60" s="169"/>
      <c r="D60" s="143"/>
      <c r="E60" s="43"/>
      <c r="F60" s="54" t="s">
        <v>76</v>
      </c>
      <c r="G60" s="169"/>
      <c r="H60" s="143"/>
    </row>
    <row r="61" spans="1:8" ht="15" customHeight="1" x14ac:dyDescent="0.35">
      <c r="A61" s="55"/>
      <c r="B61" s="54" t="s">
        <v>78</v>
      </c>
      <c r="C61" s="169"/>
      <c r="D61" s="143"/>
      <c r="E61" s="43"/>
      <c r="F61" s="54" t="s">
        <v>78</v>
      </c>
      <c r="G61" s="169"/>
      <c r="H61" s="143"/>
    </row>
    <row r="62" spans="1:8" ht="15" customHeight="1" x14ac:dyDescent="0.35">
      <c r="A62" s="55"/>
      <c r="B62" s="115" t="s">
        <v>439</v>
      </c>
      <c r="C62" s="169" t="s">
        <v>104</v>
      </c>
      <c r="D62" s="143" t="s">
        <v>104</v>
      </c>
      <c r="E62" s="43"/>
      <c r="F62" s="115" t="s">
        <v>439</v>
      </c>
      <c r="G62" s="169" t="s">
        <v>104</v>
      </c>
      <c r="H62" s="143" t="s">
        <v>104</v>
      </c>
    </row>
    <row r="63" spans="1:8" ht="15" customHeight="1" x14ac:dyDescent="0.35">
      <c r="A63" s="55"/>
      <c r="B63" s="54" t="s">
        <v>118</v>
      </c>
      <c r="C63" s="171"/>
      <c r="D63" s="132"/>
      <c r="E63" s="43"/>
      <c r="F63" s="54" t="s">
        <v>118</v>
      </c>
      <c r="G63" s="171"/>
      <c r="H63" s="132"/>
    </row>
    <row r="64" spans="1:8" ht="15" customHeight="1" x14ac:dyDescent="0.35">
      <c r="A64" s="55"/>
      <c r="B64" s="54" t="s">
        <v>82</v>
      </c>
      <c r="C64" s="157"/>
      <c r="D64" s="133"/>
      <c r="E64" s="43"/>
      <c r="F64" s="54" t="s">
        <v>82</v>
      </c>
      <c r="G64" s="157"/>
      <c r="H64" s="133"/>
    </row>
    <row r="65" spans="1:8" ht="15" customHeight="1" x14ac:dyDescent="0.35">
      <c r="A65" s="55"/>
      <c r="B65" s="54" t="s">
        <v>84</v>
      </c>
      <c r="C65" s="157"/>
      <c r="D65" s="133"/>
      <c r="E65" s="43"/>
      <c r="F65" s="54" t="s">
        <v>84</v>
      </c>
      <c r="G65" s="157"/>
      <c r="H65" s="133"/>
    </row>
    <row r="66" spans="1:8" ht="15" customHeight="1" x14ac:dyDescent="0.35">
      <c r="A66" s="55"/>
      <c r="B66" s="54" t="s">
        <v>438</v>
      </c>
      <c r="C66" s="116">
        <f>C65-C64</f>
        <v>0</v>
      </c>
      <c r="D66" s="116">
        <f>D65-D64</f>
        <v>0</v>
      </c>
      <c r="E66" s="43"/>
      <c r="F66" s="54" t="s">
        <v>438</v>
      </c>
      <c r="G66" s="116">
        <f>G65-G64</f>
        <v>0</v>
      </c>
      <c r="H66" s="116">
        <f>H65-H64</f>
        <v>0</v>
      </c>
    </row>
    <row r="67" spans="1:8" ht="15" customHeight="1" x14ac:dyDescent="0.35">
      <c r="A67" s="55"/>
      <c r="B67" s="54" t="s">
        <v>119</v>
      </c>
      <c r="C67" s="171"/>
      <c r="D67" s="132"/>
      <c r="E67" s="43"/>
      <c r="F67" s="54" t="s">
        <v>119</v>
      </c>
      <c r="G67" s="171"/>
      <c r="H67" s="132"/>
    </row>
    <row r="68" spans="1:8" ht="15" customHeight="1" x14ac:dyDescent="0.35">
      <c r="A68" s="55"/>
      <c r="B68" s="54" t="s">
        <v>120</v>
      </c>
      <c r="C68" s="171"/>
      <c r="D68" s="132"/>
      <c r="E68" s="43"/>
      <c r="F68" s="54" t="s">
        <v>120</v>
      </c>
      <c r="G68" s="171"/>
      <c r="H68" s="132"/>
    </row>
    <row r="69" spans="1:8" ht="15" customHeight="1" x14ac:dyDescent="0.35">
      <c r="A69" s="55"/>
      <c r="B69" s="54" t="s">
        <v>121</v>
      </c>
      <c r="C69" s="98"/>
      <c r="D69" s="144"/>
      <c r="E69" s="43"/>
      <c r="F69" s="54" t="s">
        <v>121</v>
      </c>
      <c r="G69" s="98"/>
      <c r="H69" s="144"/>
    </row>
    <row r="70" spans="1:8" ht="15" customHeight="1" x14ac:dyDescent="0.35">
      <c r="A70" s="55"/>
      <c r="B70" s="54" t="s">
        <v>92</v>
      </c>
      <c r="C70" s="81" t="s">
        <v>104</v>
      </c>
      <c r="D70" s="145" t="s">
        <v>104</v>
      </c>
      <c r="E70" s="43"/>
      <c r="F70" s="54" t="s">
        <v>92</v>
      </c>
      <c r="G70" s="81" t="s">
        <v>104</v>
      </c>
      <c r="H70" s="145" t="s">
        <v>104</v>
      </c>
    </row>
    <row r="71" spans="1:8" ht="15" customHeight="1" x14ac:dyDescent="0.35">
      <c r="A71" s="55"/>
      <c r="B71" s="54" t="s">
        <v>98</v>
      </c>
      <c r="C71" s="82"/>
      <c r="D71" s="145"/>
      <c r="E71" s="43"/>
      <c r="F71" s="54" t="s">
        <v>98</v>
      </c>
      <c r="G71" s="82"/>
      <c r="H71" s="145"/>
    </row>
    <row r="72" spans="1:8" ht="15" customHeight="1" x14ac:dyDescent="0.35">
      <c r="A72" s="55"/>
      <c r="B72" s="54" t="s">
        <v>94</v>
      </c>
      <c r="C72" s="82"/>
      <c r="D72" s="145"/>
      <c r="E72" s="43"/>
      <c r="F72" s="54" t="s">
        <v>94</v>
      </c>
      <c r="G72" s="82"/>
      <c r="H72" s="145"/>
    </row>
    <row r="73" spans="1:8" ht="15" customHeight="1" x14ac:dyDescent="0.35">
      <c r="A73" s="55"/>
      <c r="B73" s="54" t="s">
        <v>96</v>
      </c>
      <c r="C73" s="82"/>
      <c r="D73" s="146"/>
      <c r="E73" s="43"/>
      <c r="F73" s="54" t="s">
        <v>96</v>
      </c>
      <c r="G73" s="82"/>
      <c r="H73" s="146"/>
    </row>
    <row r="74" spans="1:8" ht="15" customHeight="1" x14ac:dyDescent="0.35">
      <c r="A74" s="55"/>
      <c r="B74" s="77" t="s">
        <v>100</v>
      </c>
      <c r="C74" s="83" t="s">
        <v>104</v>
      </c>
      <c r="D74" s="188" t="s">
        <v>104</v>
      </c>
      <c r="E74" s="43"/>
      <c r="F74" s="77" t="s">
        <v>100</v>
      </c>
      <c r="G74" s="83" t="s">
        <v>104</v>
      </c>
      <c r="H74" s="188" t="s">
        <v>104</v>
      </c>
    </row>
    <row r="75" spans="1:8" ht="15" customHeight="1" x14ac:dyDescent="0.35"/>
    <row r="76" spans="1:8" ht="15" customHeight="1" x14ac:dyDescent="0.35"/>
    <row r="77" spans="1:8" ht="15" customHeight="1" x14ac:dyDescent="0.35"/>
    <row r="78" spans="1:8" ht="15" customHeight="1" x14ac:dyDescent="0.35">
      <c r="B78" s="239" t="s">
        <v>124</v>
      </c>
      <c r="C78" s="250"/>
    </row>
    <row r="79" spans="1:8" ht="15" customHeight="1" x14ac:dyDescent="0.35">
      <c r="B79" s="21" t="s">
        <v>125</v>
      </c>
      <c r="C79" s="20"/>
    </row>
    <row r="80" spans="1:8" ht="15" customHeight="1" x14ac:dyDescent="0.35">
      <c r="B80" s="21" t="s">
        <v>126</v>
      </c>
      <c r="C80" s="20"/>
    </row>
    <row r="81" spans="2:3" ht="15" customHeight="1" x14ac:dyDescent="0.35">
      <c r="B81" s="21" t="s">
        <v>127</v>
      </c>
      <c r="C81" s="22"/>
    </row>
    <row r="82" spans="2:3" ht="15" customHeight="1" x14ac:dyDescent="0.35">
      <c r="B82" s="21" t="s">
        <v>128</v>
      </c>
      <c r="C82" s="22"/>
    </row>
    <row r="83" spans="2:3" ht="15" customHeight="1" x14ac:dyDescent="0.35">
      <c r="B83" s="23" t="s">
        <v>129</v>
      </c>
      <c r="C83" s="24"/>
    </row>
    <row r="132" spans="2:7" hidden="1" x14ac:dyDescent="0.35"/>
    <row r="133" spans="2:7" hidden="1" x14ac:dyDescent="0.35">
      <c r="B133" s="29" t="s">
        <v>130</v>
      </c>
      <c r="C133" s="196">
        <f>_xlfn.IFNA(VLOOKUP($C$53,MeasureConfidence[[#All],[Measure Confidence Level]:[Confidence Score]],2,FALSE),0)</f>
        <v>0</v>
      </c>
      <c r="F133" s="58" t="s">
        <v>131</v>
      </c>
      <c r="G133" s="196">
        <f>_xlfn.IFNA(VLOOKUP($D$53,MeasureConfidence[[#All],[Measure Confidence Level]:[Confidence Score]],2,FALSE),0)</f>
        <v>0</v>
      </c>
    </row>
    <row r="134" spans="2:7" hidden="1" x14ac:dyDescent="0.35">
      <c r="B134" s="29" t="s">
        <v>132</v>
      </c>
      <c r="C134" s="196">
        <f>_xlfn.IFNA(VLOOKUP($G$53,MeasureConfidence[[#All],[Measure Confidence Level]:[Confidence Score]],2,FALSE),0)</f>
        <v>0</v>
      </c>
      <c r="F134" s="58" t="s">
        <v>133</v>
      </c>
      <c r="G134" s="196">
        <f>_xlfn.IFNA(VLOOKUP($H$53,MeasureConfidence[[#All],[Measure Confidence Level]:[Confidence Score]],2,FALSE),0)</f>
        <v>0</v>
      </c>
    </row>
    <row r="135" spans="2:7" hidden="1" x14ac:dyDescent="0.35">
      <c r="B135" s="29" t="s">
        <v>134</v>
      </c>
      <c r="C135" s="196">
        <f>_xlfn.IFNA(VLOOKUP($C$74,MeasureConfidence[[#All],[Measure Confidence Level]:[Confidence Score]],2,FALSE),0)</f>
        <v>0</v>
      </c>
      <c r="F135" s="58" t="s">
        <v>135</v>
      </c>
      <c r="G135" s="196">
        <f>_xlfn.IFNA(VLOOKUP($D$74,MeasureConfidence[[#All],[Measure Confidence Level]:[Confidence Score]],2,FALSE),0)</f>
        <v>0</v>
      </c>
    </row>
    <row r="136" spans="2:7" hidden="1" x14ac:dyDescent="0.35">
      <c r="B136" s="29" t="s">
        <v>136</v>
      </c>
      <c r="C136" s="196">
        <f>_xlfn.IFNA(VLOOKUP($G$74,MeasureConfidence[[#All],[Measure Confidence Level]:[Confidence Score]],2,FALSE),0)</f>
        <v>0</v>
      </c>
      <c r="F136" s="58" t="s">
        <v>137</v>
      </c>
      <c r="G136" s="196">
        <f>_xlfn.IFNA(VLOOKUP($H$74,MeasureConfidence[[#All],[Measure Confidence Level]:[Confidence Score]],2,FALSE),0)</f>
        <v>0</v>
      </c>
    </row>
    <row r="137" spans="2:7" hidden="1" x14ac:dyDescent="0.35">
      <c r="B137" s="29"/>
      <c r="C137" s="196"/>
      <c r="F137" s="58"/>
      <c r="G137" s="196"/>
    </row>
    <row r="138" spans="2:7" hidden="1" x14ac:dyDescent="0.35">
      <c r="B138" s="29" t="s">
        <v>138</v>
      </c>
      <c r="C138" s="196" t="e">
        <f>ROUND(AVERAGEIF(C133:C136,"&gt;0"),0)</f>
        <v>#DIV/0!</v>
      </c>
      <c r="F138" s="58" t="s">
        <v>138</v>
      </c>
      <c r="G138" s="196" t="e">
        <f>ROUND(AVERAGEIF(G133:G136,"&gt;0"),0)</f>
        <v>#DIV/0!</v>
      </c>
    </row>
    <row r="139" spans="2:7" hidden="1" x14ac:dyDescent="0.35">
      <c r="B139" s="29"/>
      <c r="C139" s="196"/>
      <c r="F139" s="58"/>
      <c r="G139" s="196"/>
    </row>
    <row r="140" spans="2:7" hidden="1" x14ac:dyDescent="0.35">
      <c r="B140" s="29" t="s">
        <v>139</v>
      </c>
      <c r="C140" s="196">
        <f>_xlfn.MINIFS(C133:C136,C133:C136,"&gt;0")</f>
        <v>0</v>
      </c>
      <c r="F140" s="58" t="s">
        <v>139</v>
      </c>
      <c r="G140" s="196">
        <f>_xlfn.MINIFS(G133:G136,G133:G136,"&gt;0")</f>
        <v>0</v>
      </c>
    </row>
    <row r="141" spans="2:7" hidden="1" x14ac:dyDescent="0.35"/>
    <row r="142" spans="2:7" hidden="1" x14ac:dyDescent="0.35"/>
    <row r="143" spans="2:7" hidden="1" x14ac:dyDescent="0.35"/>
  </sheetData>
  <sheetProtection algorithmName="SHA-512" hashValue="3SYPVAlmt7qNo7OU7WfPXMjXXBF1lGW1kQagnp0utK7efI2rXvhHTNf3HGTzqVqEcXDfQs7KyJFq2iQhTJgUew==" saltValue="iOm2poubhExqIdWRJPpCTQ==" spinCount="100000" sheet="1" formatColumns="0" formatRows="0"/>
  <dataConsolidate link="1"/>
  <mergeCells count="7">
    <mergeCell ref="G24:G25"/>
    <mergeCell ref="H24:H25"/>
    <mergeCell ref="B78:C78"/>
    <mergeCell ref="B21:B25"/>
    <mergeCell ref="C21:C25"/>
    <mergeCell ref="D21:D25"/>
    <mergeCell ref="F24:F25"/>
  </mergeCells>
  <dataValidations xWindow="620" yWindow="528" count="25">
    <dataValidation allowBlank="1" showInputMessage="1" showErrorMessage="1" prompt="Automatically populated when the Measure Name's cell is entered/filled" sqref="C35 G35 G56 C56" xr:uid="{83C8C14D-6CFA-449F-844C-843F1F1D8299}"/>
    <dataValidation type="decimal" operator="greaterThan" allowBlank="1" showInputMessage="1" showErrorMessage="1" error="Numerical value only please" prompt="Numerical value only please" sqref="C43:C44 G43:G44 G64:G65 C64:C65" xr:uid="{3396C4D3-01E0-4DC1-A2E0-EB66BF354738}">
      <formula1>0.0000000000001</formula1>
    </dataValidation>
    <dataValidation type="date" errorStyle="warning" operator="greaterThan" allowBlank="1" showInputMessage="1" showErrorMessage="1" sqref="G21" xr:uid="{C3A8F1EE-E448-4B4C-A293-BF23161EBF8F}">
      <formula1>36526</formula1>
    </dataValidation>
    <dataValidation operator="greaterThanOrEqual" allowBlank="1" showInputMessage="1" showErrorMessage="1" sqref="C40" xr:uid="{B161A4D8-0003-42C7-B924-3B0FDF86AEBC}"/>
    <dataValidation allowBlank="1" showInputMessage="1" showErrorMessage="1" prompt="Automatically populated based on the latest Realisation End Date of the Measure/KPI date." sqref="G29" xr:uid="{3E509945-BDE1-4C1D-91A0-93C4D42962D5}"/>
    <dataValidation allowBlank="1" showInputMessage="1" showErrorMessage="1" prompt="Automatically populated based on the earliest Realisation Start Date of the Measure/KPI date." sqref="G28" xr:uid="{7700BB0B-D0D6-46E6-96BA-C37FCD9D8D8A}"/>
    <dataValidation allowBlank="1" showInputMessage="1" showErrorMessage="1" prompt="Automatically calculated based on the lowest Benefit Confidence Level of the Measures/KPIs." sqref="G30" xr:uid="{C5154AA8-4D4F-4D33-858A-09FF06E3D4B2}"/>
    <dataValidation type="decimal" allowBlank="1" showInputMessage="1" showErrorMessage="1" sqref="C48 G48 C69 G69" xr:uid="{2AFE7FB4-5BD7-4552-889B-5B19D54A714D}">
      <formula1>0</formula1>
      <formula2>1</formula2>
    </dataValidation>
    <dataValidation type="decimal" errorStyle="warning" allowBlank="1" showInputMessage="1" showErrorMessage="1" sqref="H48 D69 D48 H69" xr:uid="{63FC00BD-9E54-4ECC-990B-A185FCA08CF4}">
      <formula1>0</formula1>
      <formula2>1</formula2>
    </dataValidation>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6:D47 C79:C80 C42:D42 G67:H68 G46:H47 C67:D68 G42:H42 G63:H63 C63:D63" xr:uid="{69499766-A236-410E-B681-E76345306CC5}">
      <formula1>1</formula1>
    </dataValidation>
    <dataValidation type="date" operator="greaterThan" allowBlank="1" showInputMessage="1" showErrorMessage="1" sqref="G23" xr:uid="{E2FFCB05-D6B9-40C1-87C8-9C1F04005ABF}">
      <formula1>36526</formula1>
    </dataValidation>
    <dataValidation errorStyle="information" allowBlank="1" showInputMessage="1" showErrorMessage="1" sqref="G22" xr:uid="{0A60C808-2D44-4C9E-8B2A-B0037BDF0E6F}"/>
    <dataValidation allowBlank="1" showInputMessage="1" showErrorMessage="1" prompt="DTA numbering system. Automatically populated when the DTA Investment ID is filled." sqref="C18" xr:uid="{0114E678-A0A2-4CDE-90D5-CA18B3AA9074}"/>
    <dataValidation allowBlank="1" showInputMessage="1" showErrorMessage="1" prompt="Benefit Endorsement fields will be automatically filled from Benefit Profile 1, except for date fields. _x000a_Please change if different." sqref="G18" xr:uid="{23817ABC-1A65-472D-84E6-B61E79226D39}"/>
    <dataValidation type="list" allowBlank="1" showInputMessage="1" showErrorMessage="1" sqref="C29" xr:uid="{A868B3B8-61BD-499D-AA3E-A5F2A8465D22}">
      <formula1>"Please select, Benefit, Disbenefit"</formula1>
    </dataValidation>
    <dataValidation type="list" allowBlank="1" showInputMessage="1" showErrorMessage="1" sqref="C28" xr:uid="{3DE0CF83-72B0-4282-B13F-B5CBCBC2F6A3}">
      <formula1>"Please select, Financial - Cashable, Financial - Non-Cashable, Non-financial"</formula1>
    </dataValidation>
    <dataValidation type="list" allowBlank="1" showInputMessage="1" showErrorMessage="1" sqref="C32" xr:uid="{ABFA3764-2A19-4565-B0C5-708CDAFE5E67}">
      <formula1>"Please select, Data and digital foundations, Delivering for all people and business, Government for the future, Simple and seamless services, Trusted and secure"</formula1>
    </dataValidation>
    <dataValidation type="list" allowBlank="1" showInputMessage="1" showErrorMessage="1" sqref="C31" xr:uid="{5BC6553C-BD19-4E48-BC47-27DAF09B3606}">
      <formula1>"Please select, Agency, Business, Citizen, Government"</formula1>
    </dataValidation>
    <dataValidation type="list" allowBlank="1" showInputMessage="1" showErrorMessage="1" sqref="C49 G49 C70 G70" xr:uid="{A2FDF7BC-E162-4608-B41D-913071E6EB2B}">
      <formula1>"Please select, Weekly, Fortnightly, In planning, Monthly, Quarterly, Biannually, Year (calendar), Year (financial)"</formula1>
    </dataValidation>
    <dataValidation type="decimal" errorStyle="information" operator="lessThan" allowBlank="1" showInputMessage="1" showErrorMessage="1" error="Numerical value only please" prompt="Numerical value only please" sqref="C45:D45 C66:D66 G66:H66" xr:uid="{5B80EDEB-5BD8-45A6-9542-E90911B720EE}">
      <formula1>0</formula1>
    </dataValidation>
    <dataValidation type="list" operator="greaterThanOrEqual" allowBlank="1" showInputMessage="1" showErrorMessage="1" sqref="C41:D41" xr:uid="{7B2D7A97-F4C9-4C15-A892-E3AA8A9EACBB}">
      <formula1>"Please select, Increase, Decrease"</formula1>
    </dataValidation>
    <dataValidation type="list" allowBlank="1" showInputMessage="1" showErrorMessage="1" sqref="G41:H41 C62:D62 G62:H62" xr:uid="{8A7AF258-CB4F-46E3-9AB1-22BC579F0ED1}">
      <formula1>"Please select, Increase, Decrease"</formula1>
    </dataValidation>
    <dataValidation type="decimal" errorStyle="information" operator="greaterThan" allowBlank="1" showInputMessage="1" showErrorMessage="1" error="Numerical value only please" prompt="Numerical value only please" sqref="G45:H45" xr:uid="{F88A4B29-90B1-46C9-AB67-2A996DF6D47F}">
      <formula1>0</formula1>
    </dataValidation>
    <dataValidation allowBlank="1" showInputMessage="1" showErrorMessage="1" prompt="Investment Details - automatically filled from Benefit Profile 1." sqref="C10" xr:uid="{5550A42F-D1CC-4AC5-A0E9-7E3008B6A6A6}"/>
    <dataValidation type="decimal" operator="greaterThan" allowBlank="1" showInputMessage="1" showErrorMessage="1" sqref="D43:D44 H43:H44 H64:H65 D64:D65" xr:uid="{8A3E0BAD-4399-4D67-9091-AB1D106BEF3C}">
      <formula1>0.0000000000001</formula1>
    </dataValidation>
  </dataValidations>
  <printOptions horizontalCentered="1"/>
  <pageMargins left="0" right="0" top="0.74803149606299213" bottom="0.35433070866141736" header="0.31496062992125984" footer="0.31496062992125984"/>
  <pageSetup paperSize="9" scale="71" orientation="portrait" r:id="rId1"/>
  <ignoredErrors>
    <ignoredError sqref="C12:C14 G18:H25" unlockedFormula="1"/>
  </ignoredErrors>
  <drawing r:id="rId2"/>
  <extLst>
    <ext xmlns:x14="http://schemas.microsoft.com/office/spreadsheetml/2009/9/main" uri="{CCE6A557-97BC-4b89-ADB6-D9C93CAAB3DF}">
      <x14:dataValidations xmlns:xm="http://schemas.microsoft.com/office/excel/2006/main" xWindow="620" yWindow="528" count="9">
        <x14:dataValidation type="list" allowBlank="1" showInputMessage="1" showErrorMessage="1" xr:uid="{462FB2CE-21AE-4379-96FA-C29F7F2227A3}">
          <x14:formula1>
            <xm:f>'Validation Table'!$D$3:$D$7</xm:f>
          </x14:formula1>
          <xm:sqref>D29</xm:sqref>
        </x14:dataValidation>
        <x14:dataValidation type="list" allowBlank="1" showInputMessage="1" showErrorMessage="1" xr:uid="{AC9122E9-DF34-4A2C-B331-3EB988190B4F}">
          <x14:formula1>
            <xm:f>'Validation Table'!$H$3:$H$11</xm:f>
          </x14:formula1>
          <xm:sqref>D70 H49 D49 H70</xm:sqref>
        </x14:dataValidation>
        <x14:dataValidation type="list" allowBlank="1" showInputMessage="1" showErrorMessage="1" xr:uid="{4B7E8D67-5DBA-4108-A611-9613BA224071}">
          <x14:formula1>
            <xm:f>'Validation Table'!$F$3:$F$8</xm:f>
          </x14:formula1>
          <xm:sqref>D32</xm:sqref>
        </x14:dataValidation>
        <x14:dataValidation type="list" allowBlank="1" showInputMessage="1" showErrorMessage="1" xr:uid="{9DF4188D-C6BB-4BB2-BAAE-0D6EDA9414F0}">
          <x14:formula1>
            <xm:f>'Validation Table'!$E$3:$E$7</xm:f>
          </x14:formula1>
          <xm:sqref>D31</xm:sqref>
        </x14:dataValidation>
        <x14:dataValidation type="list" allowBlank="1" showInputMessage="1" showErrorMessage="1" xr:uid="{CC34B6AF-6BE9-4C7C-BA94-F53567F117BC}">
          <x14:formula1>
            <xm:f>'Validation Table'!$C$3:$C$17</xm:f>
          </x14:formula1>
          <xm:sqref>C30:D30</xm:sqref>
        </x14:dataValidation>
        <x14:dataValidation type="list" allowBlank="1" showInputMessage="1" showErrorMessage="1" xr:uid="{388BD650-D14D-4616-8B71-449F67A28F6B}">
          <x14:formula1>
            <xm:f>'Validation Table'!$B$3:$B$6</xm:f>
          </x14:formula1>
          <xm:sqref>D28</xm:sqref>
        </x14:dataValidation>
        <x14:dataValidation type="list" allowBlank="1" showInputMessage="1" showErrorMessage="1" xr:uid="{79D2D706-9C68-4AF3-AB99-F96914067505}">
          <x14:formula1>
            <xm:f>'0. PortfolioAgencyLinks'!$T$1:$T$193</xm:f>
          </x14:formula1>
          <xm:sqref>C13:C14</xm:sqref>
        </x14:dataValidation>
        <x14:dataValidation type="list" allowBlank="1" showInputMessage="1" showErrorMessage="1" xr:uid="{45628C94-A17B-46D2-875B-E9ED6D5D5A5B}">
          <x14:formula1>
            <xm:f>'Validation Table'!$I$3:$I$8</xm:f>
          </x14:formula1>
          <xm:sqref>C53:D53 G53:H53 C74:D74 G74:H74</xm:sqref>
        </x14:dataValidation>
        <x14:dataValidation type="list" allowBlank="1" showInputMessage="1" showErrorMessage="1" prompt="Agency fields will be automatically filled from Benefit Profile 1. Please change if different." xr:uid="{A1CD5672-5AB5-4701-AEDC-9EACD11612F0}">
          <x14:formula1>
            <xm:f>'0. PortfolioAgencyLinks'!$T$1:$T$193</xm:f>
          </x14:formula1>
          <xm:sqref>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739E-30D4-4FF7-8D8B-BF9A80156E8D}">
  <sheetPr>
    <tabColor rgb="FFC8EBD7"/>
    <pageSetUpPr fitToPage="1"/>
  </sheetPr>
  <dimension ref="A1:O329"/>
  <sheetViews>
    <sheetView zoomScale="90" zoomScaleNormal="90" workbookViewId="0">
      <selection activeCell="C10" sqref="C10"/>
    </sheetView>
  </sheetViews>
  <sheetFormatPr defaultColWidth="9.1796875" defaultRowHeight="14.5" outlineLevelCol="1" x14ac:dyDescent="0.35"/>
  <cols>
    <col min="1" max="1" width="2" style="3" customWidth="1"/>
    <col min="2" max="3" width="45.7265625" style="3" customWidth="1"/>
    <col min="4" max="4" width="45.7265625" style="55" hidden="1" customWidth="1" outlineLevel="1"/>
    <col min="5" max="5" width="5.7265625" style="3" customWidth="1" collapsed="1"/>
    <col min="6" max="6" width="45.7265625" style="55" customWidth="1"/>
    <col min="7" max="7" width="45.7265625" style="3" customWidth="1"/>
    <col min="8" max="8" width="45.7265625" style="55" hidden="1" customWidth="1" outlineLevel="1"/>
    <col min="9" max="9" width="8.26953125" style="3" customWidth="1" collapsed="1"/>
    <col min="10" max="10" width="49.7265625" style="3" customWidth="1"/>
    <col min="11" max="11" width="79.81640625" style="3" bestFit="1" customWidth="1"/>
    <col min="12" max="54" width="9.1796875" style="3"/>
    <col min="55" max="56" width="29.26953125" style="3" bestFit="1" customWidth="1"/>
    <col min="57" max="57" width="8.453125" style="3" bestFit="1" customWidth="1"/>
    <col min="58" max="16384" width="9.1796875" style="3"/>
  </cols>
  <sheetData>
    <row r="1" spans="1:15" ht="6.75" customHeight="1" x14ac:dyDescent="0.35">
      <c r="A1" s="42"/>
      <c r="B1" s="42"/>
      <c r="C1" s="42"/>
      <c r="D1" s="42"/>
      <c r="E1" s="42"/>
      <c r="F1" s="42"/>
      <c r="G1" s="42"/>
      <c r="H1" s="42"/>
    </row>
    <row r="2" spans="1:15" x14ac:dyDescent="0.35">
      <c r="A2" s="42"/>
      <c r="B2" s="42"/>
      <c r="C2" s="42"/>
      <c r="D2" s="42"/>
      <c r="E2" s="42"/>
      <c r="F2" s="42"/>
      <c r="G2" s="42"/>
      <c r="H2" s="42"/>
    </row>
    <row r="3" spans="1:15" x14ac:dyDescent="0.35">
      <c r="A3" s="42"/>
      <c r="B3" s="42"/>
      <c r="C3" s="42"/>
      <c r="D3" s="42"/>
      <c r="E3" s="42"/>
      <c r="F3" s="42"/>
      <c r="G3" s="42"/>
      <c r="H3" s="42"/>
    </row>
    <row r="4" spans="1:15" ht="42" customHeight="1" x14ac:dyDescent="0.35">
      <c r="A4" s="42"/>
      <c r="B4" s="42"/>
      <c r="C4" s="42"/>
      <c r="D4" s="42"/>
      <c r="E4" s="42"/>
      <c r="F4" s="42"/>
      <c r="G4" s="42"/>
      <c r="H4" s="42"/>
    </row>
    <row r="5" spans="1:15" ht="46" x14ac:dyDescent="0.35">
      <c r="A5" s="42"/>
      <c r="B5" s="204" t="s">
        <v>200</v>
      </c>
      <c r="C5" s="57"/>
      <c r="D5" s="152"/>
      <c r="E5" s="56"/>
      <c r="F5" s="56"/>
      <c r="G5" s="42"/>
      <c r="H5" s="42"/>
    </row>
    <row r="6" spans="1:15" x14ac:dyDescent="0.35">
      <c r="A6" s="42"/>
      <c r="B6" s="42"/>
      <c r="C6" s="42"/>
      <c r="D6" s="42"/>
      <c r="E6" s="42"/>
      <c r="F6" s="42"/>
      <c r="G6" s="42"/>
      <c r="H6" s="42"/>
    </row>
    <row r="7" spans="1:15" ht="15" customHeight="1" x14ac:dyDescent="0.35">
      <c r="A7" s="42"/>
      <c r="B7" s="56"/>
      <c r="C7" s="152"/>
      <c r="D7" s="153"/>
      <c r="E7" s="43"/>
      <c r="F7" s="43"/>
      <c r="G7" s="147"/>
      <c r="H7" s="147"/>
    </row>
    <row r="8" spans="1:15" ht="15" customHeight="1" x14ac:dyDescent="0.35">
      <c r="A8" s="42"/>
      <c r="B8" s="42"/>
      <c r="C8" s="147"/>
      <c r="D8" s="147"/>
      <c r="E8" s="43"/>
      <c r="F8" s="43"/>
      <c r="G8" s="147"/>
      <c r="H8" s="147"/>
    </row>
    <row r="9" spans="1:15" s="4" customFormat="1" ht="15" customHeight="1" x14ac:dyDescent="0.35">
      <c r="A9" s="44"/>
      <c r="B9" s="45" t="s">
        <v>103</v>
      </c>
      <c r="C9" s="199"/>
      <c r="D9" s="147"/>
      <c r="E9" s="43"/>
      <c r="F9" s="43"/>
      <c r="G9" s="147"/>
      <c r="H9" s="147"/>
      <c r="J9" s="3"/>
      <c r="K9" s="3"/>
      <c r="L9" s="3"/>
      <c r="M9" s="3"/>
      <c r="N9" s="3"/>
      <c r="O9" s="3"/>
    </row>
    <row r="10" spans="1:15" ht="15" customHeight="1" x14ac:dyDescent="0.35">
      <c r="A10" s="42"/>
      <c r="B10" s="88" t="s">
        <v>29</v>
      </c>
      <c r="C10" s="92">
        <f>'Benefit Profile 1'!$C$10</f>
        <v>0</v>
      </c>
      <c r="D10" s="147"/>
      <c r="E10" s="43"/>
      <c r="F10" s="43"/>
      <c r="G10" s="147"/>
      <c r="H10" s="147"/>
    </row>
    <row r="11" spans="1:15" ht="15" customHeight="1" x14ac:dyDescent="0.35">
      <c r="A11" s="42"/>
      <c r="B11" s="90" t="s">
        <v>30</v>
      </c>
      <c r="C11" s="92">
        <f>'Benefit Profile 1'!$C$11</f>
        <v>0</v>
      </c>
      <c r="D11" s="147"/>
      <c r="E11" s="43"/>
      <c r="F11" s="43"/>
      <c r="G11" s="147"/>
      <c r="H11" s="147"/>
    </row>
    <row r="12" spans="1:15" ht="15" customHeight="1" x14ac:dyDescent="0.35">
      <c r="A12" s="42"/>
      <c r="B12" s="90" t="s">
        <v>31</v>
      </c>
      <c r="C12" s="97" t="str">
        <f>'Benefit Profile 1'!$C$12</f>
        <v>Please select</v>
      </c>
      <c r="D12" s="147"/>
      <c r="E12" s="43"/>
      <c r="F12" s="43"/>
      <c r="G12" s="147"/>
      <c r="H12" s="147"/>
    </row>
    <row r="13" spans="1:15" ht="15" customHeight="1" x14ac:dyDescent="0.35">
      <c r="A13" s="42"/>
      <c r="B13" s="90" t="s">
        <v>33</v>
      </c>
      <c r="C13" s="97" t="str">
        <f>'Benefit Profile 1'!$C$13</f>
        <v>Please select</v>
      </c>
      <c r="D13" s="147"/>
      <c r="E13" s="43"/>
      <c r="F13" s="43"/>
      <c r="G13" s="147"/>
      <c r="H13" s="147"/>
    </row>
    <row r="14" spans="1:15" ht="30" customHeight="1" x14ac:dyDescent="0.35">
      <c r="A14" s="42"/>
      <c r="B14" s="91" t="s">
        <v>105</v>
      </c>
      <c r="C14" s="97" t="str">
        <f>'Benefit Profile 1'!$C$14</f>
        <v>Please select</v>
      </c>
      <c r="D14" s="147"/>
      <c r="E14" s="43"/>
      <c r="F14" s="43"/>
      <c r="G14" s="147"/>
      <c r="H14" s="147"/>
    </row>
    <row r="15" spans="1:15" ht="15" customHeight="1" x14ac:dyDescent="0.35">
      <c r="A15" s="42"/>
      <c r="B15" s="43"/>
      <c r="C15" s="147"/>
      <c r="D15" s="147"/>
      <c r="E15" s="43"/>
      <c r="F15" s="43"/>
      <c r="G15" s="147"/>
      <c r="H15" s="147"/>
    </row>
    <row r="16" spans="1:15" ht="15" customHeight="1" x14ac:dyDescent="0.35">
      <c r="A16" s="42"/>
      <c r="B16" s="43"/>
      <c r="C16" s="147"/>
      <c r="D16" s="147"/>
      <c r="E16" s="43"/>
      <c r="F16" s="43"/>
      <c r="G16" s="147"/>
      <c r="H16" s="147"/>
    </row>
    <row r="17" spans="1:15" s="4" customFormat="1" ht="15" customHeight="1" x14ac:dyDescent="0.35">
      <c r="A17" s="44"/>
      <c r="B17" s="47" t="s">
        <v>42</v>
      </c>
      <c r="C17" s="195"/>
      <c r="D17" s="154" t="s">
        <v>106</v>
      </c>
      <c r="E17" s="49"/>
      <c r="F17" s="47" t="s">
        <v>107</v>
      </c>
      <c r="G17" s="195"/>
      <c r="H17" s="148" t="s">
        <v>106</v>
      </c>
      <c r="J17" s="3"/>
      <c r="K17" s="3"/>
      <c r="L17" s="3"/>
      <c r="M17" s="3"/>
      <c r="N17" s="3"/>
      <c r="O17" s="3"/>
    </row>
    <row r="18" spans="1:15" s="30" customFormat="1" ht="15" customHeight="1" x14ac:dyDescent="0.35">
      <c r="A18" s="50"/>
      <c r="B18" s="54" t="s">
        <v>38</v>
      </c>
      <c r="C18" s="76" t="str">
        <f>IF(AND(LEFT(C10, 4)="INV-", ISNUMBER(VALUE(MID(C10, 5, LEN(C10)-4)))), C10 &amp; "-" &amp; VLOOKUP("Benefit Profile 7", BenefitNumbering[#All], 2, FALSE), "")</f>
        <v/>
      </c>
      <c r="D18" s="76" t="str">
        <f>IF(AND(LEFT(C10, 4)="INV-", ISNUMBER(VALUE(MID(C10, 5, LEN(C10)-4)))), C10 &amp; "-" &amp; VLOOKUP("Benefit Profile 7", BenefitNumberingVar[#All], 2, FALSE), "")</f>
        <v/>
      </c>
      <c r="E18" s="51"/>
      <c r="F18" s="54" t="s">
        <v>108</v>
      </c>
      <c r="G18" s="118">
        <f>'Benefit Profile 1'!$G$18</f>
        <v>0</v>
      </c>
      <c r="H18" s="197">
        <f>'Benefit Profile 1'!$H$18</f>
        <v>0</v>
      </c>
      <c r="J18" s="3"/>
      <c r="K18" s="3"/>
      <c r="L18" s="3"/>
      <c r="M18" s="3"/>
      <c r="N18" s="3"/>
      <c r="O18" s="3"/>
    </row>
    <row r="19" spans="1:15" ht="15" customHeight="1" x14ac:dyDescent="0.35">
      <c r="A19" s="42"/>
      <c r="B19" s="85" t="s">
        <v>109</v>
      </c>
      <c r="C19" s="41"/>
      <c r="D19" s="150"/>
      <c r="E19" s="43"/>
      <c r="F19" s="86" t="s">
        <v>110</v>
      </c>
      <c r="G19" s="118">
        <f>'Benefit Profile 1'!$G$19</f>
        <v>0</v>
      </c>
      <c r="H19" s="197">
        <f>'Benefit Profile 1'!$H$19</f>
        <v>0</v>
      </c>
    </row>
    <row r="20" spans="1:15" ht="15" customHeight="1" x14ac:dyDescent="0.35">
      <c r="A20" s="42"/>
      <c r="B20" s="85" t="s">
        <v>41</v>
      </c>
      <c r="C20" s="41"/>
      <c r="D20" s="150"/>
      <c r="E20" s="43"/>
      <c r="F20" s="86" t="s">
        <v>46</v>
      </c>
      <c r="G20" s="118">
        <f>'Benefit Profile 1'!$G$20</f>
        <v>0</v>
      </c>
      <c r="H20" s="197">
        <f>'Benefit Profile 1'!$H$20</f>
        <v>0</v>
      </c>
    </row>
    <row r="21" spans="1:15" ht="15" customHeight="1" x14ac:dyDescent="0.35">
      <c r="A21" s="42"/>
      <c r="B21" s="242" t="s">
        <v>42</v>
      </c>
      <c r="C21" s="241"/>
      <c r="D21" s="233"/>
      <c r="E21" s="43"/>
      <c r="F21" s="86" t="s">
        <v>111</v>
      </c>
      <c r="G21" s="99"/>
      <c r="H21" s="170"/>
    </row>
    <row r="22" spans="1:15" ht="15" customHeight="1" x14ac:dyDescent="0.35">
      <c r="A22" s="42"/>
      <c r="B22" s="243"/>
      <c r="C22" s="241"/>
      <c r="D22" s="235"/>
      <c r="E22" s="43"/>
      <c r="F22" s="86" t="s">
        <v>112</v>
      </c>
      <c r="G22" s="97">
        <f>'Benefit Profile 1'!$G$22</f>
        <v>0</v>
      </c>
      <c r="H22" s="97">
        <f>'Benefit Profile 1'!$H$22</f>
        <v>0</v>
      </c>
    </row>
    <row r="23" spans="1:15" ht="15" customHeight="1" x14ac:dyDescent="0.35">
      <c r="A23" s="42"/>
      <c r="B23" s="243"/>
      <c r="C23" s="241"/>
      <c r="D23" s="235"/>
      <c r="E23" s="43"/>
      <c r="F23" s="86" t="s">
        <v>113</v>
      </c>
      <c r="G23" s="99"/>
      <c r="H23" s="170"/>
    </row>
    <row r="24" spans="1:15" ht="15" customHeight="1" x14ac:dyDescent="0.35">
      <c r="A24" s="42"/>
      <c r="B24" s="243"/>
      <c r="C24" s="241"/>
      <c r="D24" s="235"/>
      <c r="E24" s="43"/>
      <c r="F24" s="242" t="s">
        <v>48</v>
      </c>
      <c r="G24" s="237"/>
      <c r="H24" s="233"/>
    </row>
    <row r="25" spans="1:15" ht="15" customHeight="1" x14ac:dyDescent="0.35">
      <c r="A25" s="42"/>
      <c r="B25" s="244"/>
      <c r="C25" s="238"/>
      <c r="D25" s="236"/>
      <c r="E25" s="43"/>
      <c r="F25" s="244"/>
      <c r="G25" s="238"/>
      <c r="H25" s="236"/>
    </row>
    <row r="26" spans="1:15" s="4" customFormat="1" ht="15" customHeight="1" x14ac:dyDescent="0.35">
      <c r="A26" s="44"/>
      <c r="B26" s="52"/>
      <c r="C26" s="147"/>
      <c r="D26" s="147"/>
      <c r="E26" s="43"/>
      <c r="F26" s="43"/>
      <c r="G26" s="147"/>
      <c r="H26" s="151"/>
      <c r="J26" s="3"/>
      <c r="K26" s="3"/>
      <c r="L26" s="3"/>
      <c r="M26" s="3"/>
      <c r="N26" s="3"/>
      <c r="O26" s="3"/>
    </row>
    <row r="27" spans="1:15" ht="15" customHeight="1" x14ac:dyDescent="0.35">
      <c r="A27" s="42"/>
      <c r="B27" s="47" t="s">
        <v>50</v>
      </c>
      <c r="C27" s="195"/>
      <c r="D27" s="148" t="s">
        <v>106</v>
      </c>
      <c r="E27" s="53"/>
      <c r="F27" s="47" t="s">
        <v>114</v>
      </c>
      <c r="G27" s="195"/>
      <c r="H27" s="148" t="s">
        <v>106</v>
      </c>
    </row>
    <row r="28" spans="1:15" ht="15" customHeight="1" x14ac:dyDescent="0.35">
      <c r="A28" s="42"/>
      <c r="B28" s="54" t="s">
        <v>51</v>
      </c>
      <c r="C28" s="41" t="s">
        <v>104</v>
      </c>
      <c r="D28" s="149" t="s">
        <v>104</v>
      </c>
      <c r="E28" s="43"/>
      <c r="F28" s="54" t="s">
        <v>62</v>
      </c>
      <c r="G28" s="75" t="str">
        <f>IF(AND($C$46="",$G$46="",$C$67="",$G$67=""),"",MIN($C$46,$G$46,$C$67,$G$67))</f>
        <v/>
      </c>
      <c r="H28" s="75" t="str">
        <f>IF(AND(D46="",$H$46="",$D$67="",$H$67=""),"",MIN($D$46,$H$46,$D$67,$H$67))</f>
        <v/>
      </c>
    </row>
    <row r="29" spans="1:15" ht="15" customHeight="1" x14ac:dyDescent="0.35">
      <c r="A29" s="42"/>
      <c r="B29" s="54" t="s">
        <v>53</v>
      </c>
      <c r="C29" s="41" t="s">
        <v>104</v>
      </c>
      <c r="D29" s="149" t="s">
        <v>104</v>
      </c>
      <c r="E29" s="43"/>
      <c r="F29" s="54" t="s">
        <v>64</v>
      </c>
      <c r="G29" s="75" t="str">
        <f>IF(AND($C$47="",$G$47="",$C$68="",$G$68=""),"",MAX($C$47,$G$47,$C$68,$G$68))</f>
        <v/>
      </c>
      <c r="H29" s="75" t="str">
        <f>IF(AND($D$47="",$H$47="",$D$68="",$H$68=""),"",MAX($D$47,$H$47,$D$68,$H$68))</f>
        <v/>
      </c>
    </row>
    <row r="30" spans="1:15" ht="15" customHeight="1" x14ac:dyDescent="0.35">
      <c r="A30" s="42"/>
      <c r="B30" s="54" t="s">
        <v>55</v>
      </c>
      <c r="C30" s="41" t="s">
        <v>104</v>
      </c>
      <c r="D30" s="149" t="s">
        <v>104</v>
      </c>
      <c r="E30" s="43"/>
      <c r="F30" s="119" t="s">
        <v>66</v>
      </c>
      <c r="G30" s="120" t="str">
        <f>IF(VLOOKUP($C$140,MeasureConfidence[[#All],[Confidence Score]:[Cross Ref]],2,FALSE)=0,"",VLOOKUP($C$140,MeasureConfidence[[#All],[Confidence Score]:[Cross Ref]],2,FALSE))</f>
        <v/>
      </c>
      <c r="H30" s="120" t="str">
        <f>IF(VLOOKUP($G$140,MeasureConfidence[[#All],[Confidence Score]:[Cross Ref]],2,FALSE)=0,"",VLOOKUP($G$140,MeasureConfidence[[#All],[Confidence Score]:[Cross Ref]],2,FALSE))</f>
        <v/>
      </c>
    </row>
    <row r="31" spans="1:15" ht="15" customHeight="1" x14ac:dyDescent="0.35">
      <c r="A31" s="42"/>
      <c r="B31" s="54" t="s">
        <v>57</v>
      </c>
      <c r="C31" s="41" t="s">
        <v>104</v>
      </c>
      <c r="D31" s="149" t="s">
        <v>104</v>
      </c>
      <c r="E31" s="43"/>
      <c r="F31" s="43"/>
      <c r="G31" s="147"/>
      <c r="H31" s="147"/>
    </row>
    <row r="32" spans="1:15" ht="15" customHeight="1" x14ac:dyDescent="0.35">
      <c r="A32" s="42"/>
      <c r="B32" s="74" t="s">
        <v>59</v>
      </c>
      <c r="C32" s="84" t="s">
        <v>104</v>
      </c>
      <c r="D32" s="155" t="s">
        <v>104</v>
      </c>
      <c r="E32" s="43"/>
      <c r="F32" s="43"/>
      <c r="G32" s="147"/>
      <c r="H32" s="147"/>
    </row>
    <row r="33" spans="1:8" ht="15" customHeight="1" x14ac:dyDescent="0.35">
      <c r="A33" s="42"/>
      <c r="B33" s="52"/>
      <c r="C33" s="147"/>
      <c r="D33" s="147"/>
      <c r="E33" s="43"/>
      <c r="F33" s="43"/>
      <c r="G33" s="147"/>
      <c r="H33" s="147"/>
    </row>
    <row r="34" spans="1:8" ht="15" customHeight="1" x14ac:dyDescent="0.35">
      <c r="A34" s="42"/>
      <c r="B34" s="47" t="s">
        <v>115</v>
      </c>
      <c r="C34" s="195"/>
      <c r="D34" s="154" t="s">
        <v>106</v>
      </c>
      <c r="E34" s="43"/>
      <c r="F34" s="47" t="s">
        <v>116</v>
      </c>
      <c r="G34" s="195"/>
      <c r="H34" s="148" t="s">
        <v>106</v>
      </c>
    </row>
    <row r="35" spans="1:8" ht="15" customHeight="1" x14ac:dyDescent="0.35">
      <c r="A35" s="42"/>
      <c r="B35" s="54" t="s">
        <v>69</v>
      </c>
      <c r="C35" s="76" t="str">
        <f>IF(AND(LEFT($C$10, 4)="INV-", ISNUMBER(VALUE(MID($C$10, 5, LEN($C$10)-4))), $C$36&lt;&gt;""), $C$10 &amp; "-" &amp; VLOOKUP("Benefit Profile 7", BenefitNumbering[#All], 2, FALSE) &amp; "-1", "")</f>
        <v/>
      </c>
      <c r="D35" s="76" t="str">
        <f>IF(AND(LEFT($C$10, 4)="INV-", ISNUMBER(VALUE(MID($C$10, 5, LEN($C$10)-4))), $D$36&lt;&gt;""), $C$10 &amp; "-" &amp; VLOOKUP("Benefit Profile 7", BenefitNumberingVar[#All], 2, FALSE) &amp; "-1", "")</f>
        <v/>
      </c>
      <c r="E35" s="43"/>
      <c r="F35" s="54" t="s">
        <v>69</v>
      </c>
      <c r="G35" s="76" t="str">
        <f>IF(AND(LEFT($C$10, 4)="INV-", ISNUMBER(VALUE(MID($C$10, 5, LEN($C$10)-4))), $G$36&lt;&gt;""), $C$10 &amp; "-" &amp; VLOOKUP("Benefit Profile 7", BenefitNumbering[#All], 2, FALSE) &amp; "-2", "")</f>
        <v/>
      </c>
      <c r="H35" s="76" t="str">
        <f>IF(AND(LEFT($C$10, 4)="INV-", ISNUMBER(VALUE(MID($C$10, 5, LEN($C$10)-4))), $H$36&lt;&gt;""), $C$10 &amp; "-" &amp; VLOOKUP("Benefit Profile 7", BenefitNumberingVar[#All], 2, FALSE) &amp; "-2", "")</f>
        <v/>
      </c>
    </row>
    <row r="36" spans="1:8" ht="15" customHeight="1" x14ac:dyDescent="0.35">
      <c r="A36" s="42"/>
      <c r="B36" s="54" t="s">
        <v>117</v>
      </c>
      <c r="C36" s="169"/>
      <c r="D36" s="143"/>
      <c r="E36" s="43"/>
      <c r="F36" s="54" t="s">
        <v>117</v>
      </c>
      <c r="G36" s="169"/>
      <c r="H36" s="143"/>
    </row>
    <row r="37" spans="1:8" ht="15" customHeight="1" x14ac:dyDescent="0.35">
      <c r="A37" s="42"/>
      <c r="B37" s="54" t="s">
        <v>72</v>
      </c>
      <c r="C37" s="169"/>
      <c r="D37" s="143"/>
      <c r="E37" s="43"/>
      <c r="F37" s="54" t="s">
        <v>72</v>
      </c>
      <c r="G37" s="169"/>
      <c r="H37" s="143"/>
    </row>
    <row r="38" spans="1:8" ht="15" customHeight="1" x14ac:dyDescent="0.35">
      <c r="A38" s="42"/>
      <c r="B38" s="115" t="s">
        <v>74</v>
      </c>
      <c r="C38" s="169"/>
      <c r="D38" s="143"/>
      <c r="E38" s="43"/>
      <c r="F38" s="54" t="s">
        <v>74</v>
      </c>
      <c r="G38" s="169"/>
      <c r="H38" s="143"/>
    </row>
    <row r="39" spans="1:8" ht="15" customHeight="1" x14ac:dyDescent="0.35">
      <c r="A39" s="42"/>
      <c r="B39" s="54" t="s">
        <v>76</v>
      </c>
      <c r="C39" s="169"/>
      <c r="D39" s="143"/>
      <c r="E39" s="43"/>
      <c r="F39" s="54" t="s">
        <v>76</v>
      </c>
      <c r="G39" s="169"/>
      <c r="H39" s="143"/>
    </row>
    <row r="40" spans="1:8" ht="15" customHeight="1" x14ac:dyDescent="0.35">
      <c r="A40" s="42"/>
      <c r="B40" s="54" t="s">
        <v>78</v>
      </c>
      <c r="C40" s="169"/>
      <c r="D40" s="143"/>
      <c r="E40" s="43"/>
      <c r="F40" s="54" t="s">
        <v>78</v>
      </c>
      <c r="G40" s="169"/>
      <c r="H40" s="143"/>
    </row>
    <row r="41" spans="1:8" ht="15" customHeight="1" x14ac:dyDescent="0.35">
      <c r="A41" s="42"/>
      <c r="B41" s="115" t="s">
        <v>439</v>
      </c>
      <c r="C41" s="169" t="s">
        <v>104</v>
      </c>
      <c r="D41" s="143" t="s">
        <v>104</v>
      </c>
      <c r="E41" s="43"/>
      <c r="F41" s="115" t="s">
        <v>439</v>
      </c>
      <c r="G41" s="169" t="s">
        <v>104</v>
      </c>
      <c r="H41" s="143" t="s">
        <v>104</v>
      </c>
    </row>
    <row r="42" spans="1:8" ht="15" customHeight="1" x14ac:dyDescent="0.35">
      <c r="A42" s="42"/>
      <c r="B42" s="54" t="s">
        <v>118</v>
      </c>
      <c r="C42" s="171"/>
      <c r="D42" s="132"/>
      <c r="E42" s="43"/>
      <c r="F42" s="54" t="s">
        <v>118</v>
      </c>
      <c r="G42" s="171"/>
      <c r="H42" s="132"/>
    </row>
    <row r="43" spans="1:8" ht="15" customHeight="1" x14ac:dyDescent="0.35">
      <c r="A43" s="42"/>
      <c r="B43" s="54" t="s">
        <v>82</v>
      </c>
      <c r="C43" s="157"/>
      <c r="D43" s="133"/>
      <c r="E43" s="43"/>
      <c r="F43" s="54" t="s">
        <v>82</v>
      </c>
      <c r="G43" s="157"/>
      <c r="H43" s="133"/>
    </row>
    <row r="44" spans="1:8" ht="15" customHeight="1" x14ac:dyDescent="0.35">
      <c r="A44" s="42"/>
      <c r="B44" s="54" t="s">
        <v>84</v>
      </c>
      <c r="C44" s="157"/>
      <c r="D44" s="133"/>
      <c r="E44" s="43"/>
      <c r="F44" s="54" t="s">
        <v>84</v>
      </c>
      <c r="G44" s="157"/>
      <c r="H44" s="133"/>
    </row>
    <row r="45" spans="1:8" ht="15" customHeight="1" x14ac:dyDescent="0.35">
      <c r="A45" s="42"/>
      <c r="B45" s="54" t="s">
        <v>438</v>
      </c>
      <c r="C45" s="116">
        <f>C44-C43</f>
        <v>0</v>
      </c>
      <c r="D45" s="116">
        <f>D44-D43</f>
        <v>0</v>
      </c>
      <c r="E45" s="43"/>
      <c r="F45" s="54" t="s">
        <v>438</v>
      </c>
      <c r="G45" s="116">
        <f>G44-G43</f>
        <v>0</v>
      </c>
      <c r="H45" s="116">
        <f>H44-H43</f>
        <v>0</v>
      </c>
    </row>
    <row r="46" spans="1:8" ht="15" customHeight="1" x14ac:dyDescent="0.35">
      <c r="A46" s="42"/>
      <c r="B46" s="54" t="s">
        <v>119</v>
      </c>
      <c r="C46" s="171"/>
      <c r="D46" s="132"/>
      <c r="E46" s="43"/>
      <c r="F46" s="54" t="s">
        <v>119</v>
      </c>
      <c r="G46" s="171"/>
      <c r="H46" s="132"/>
    </row>
    <row r="47" spans="1:8" ht="15" customHeight="1" x14ac:dyDescent="0.35">
      <c r="A47" s="42"/>
      <c r="B47" s="54" t="s">
        <v>120</v>
      </c>
      <c r="C47" s="171"/>
      <c r="D47" s="132"/>
      <c r="E47" s="43"/>
      <c r="F47" s="54" t="s">
        <v>120</v>
      </c>
      <c r="G47" s="171"/>
      <c r="H47" s="132"/>
    </row>
    <row r="48" spans="1:8" ht="15" customHeight="1" x14ac:dyDescent="0.35">
      <c r="A48" s="42"/>
      <c r="B48" s="54" t="s">
        <v>121</v>
      </c>
      <c r="C48" s="98"/>
      <c r="D48" s="144"/>
      <c r="E48" s="43"/>
      <c r="F48" s="54" t="s">
        <v>121</v>
      </c>
      <c r="G48" s="98"/>
      <c r="H48" s="144"/>
    </row>
    <row r="49" spans="1:8" ht="15" customHeight="1" x14ac:dyDescent="0.35">
      <c r="A49" s="42"/>
      <c r="B49" s="54" t="s">
        <v>92</v>
      </c>
      <c r="C49" s="81" t="s">
        <v>104</v>
      </c>
      <c r="D49" s="145" t="s">
        <v>104</v>
      </c>
      <c r="E49" s="43"/>
      <c r="F49" s="54" t="s">
        <v>92</v>
      </c>
      <c r="G49" s="81" t="s">
        <v>104</v>
      </c>
      <c r="H49" s="145"/>
    </row>
    <row r="50" spans="1:8" ht="15" customHeight="1" x14ac:dyDescent="0.35">
      <c r="A50" s="42"/>
      <c r="B50" s="54" t="s">
        <v>98</v>
      </c>
      <c r="C50" s="82"/>
      <c r="D50" s="145"/>
      <c r="E50" s="43"/>
      <c r="F50" s="54" t="s">
        <v>98</v>
      </c>
      <c r="G50" s="82"/>
      <c r="H50" s="145"/>
    </row>
    <row r="51" spans="1:8" ht="15" customHeight="1" x14ac:dyDescent="0.35">
      <c r="A51" s="42"/>
      <c r="B51" s="54" t="s">
        <v>94</v>
      </c>
      <c r="C51" s="82"/>
      <c r="D51" s="145"/>
      <c r="E51" s="43"/>
      <c r="F51" s="54" t="s">
        <v>94</v>
      </c>
      <c r="G51" s="82"/>
      <c r="H51" s="145"/>
    </row>
    <row r="52" spans="1:8" ht="15" customHeight="1" x14ac:dyDescent="0.35">
      <c r="A52" s="42"/>
      <c r="B52" s="54" t="s">
        <v>96</v>
      </c>
      <c r="C52" s="82"/>
      <c r="D52" s="146"/>
      <c r="E52" s="43"/>
      <c r="F52" s="54" t="s">
        <v>96</v>
      </c>
      <c r="G52" s="82"/>
      <c r="H52" s="146"/>
    </row>
    <row r="53" spans="1:8" ht="15" customHeight="1" x14ac:dyDescent="0.35">
      <c r="A53" s="42"/>
      <c r="B53" s="77" t="s">
        <v>100</v>
      </c>
      <c r="C53" s="83" t="s">
        <v>104</v>
      </c>
      <c r="D53" s="188" t="s">
        <v>104</v>
      </c>
      <c r="E53" s="43"/>
      <c r="F53" s="77" t="s">
        <v>100</v>
      </c>
      <c r="G53" s="83" t="s">
        <v>104</v>
      </c>
      <c r="H53" s="188" t="s">
        <v>104</v>
      </c>
    </row>
    <row r="54" spans="1:8" ht="15" customHeight="1" x14ac:dyDescent="0.35">
      <c r="A54" s="42"/>
      <c r="B54" s="52"/>
      <c r="C54" s="147"/>
      <c r="D54" s="147"/>
      <c r="E54" s="43"/>
      <c r="F54" s="43"/>
      <c r="G54" s="147"/>
      <c r="H54" s="147"/>
    </row>
    <row r="55" spans="1:8" ht="15" customHeight="1" x14ac:dyDescent="0.35">
      <c r="A55" s="42"/>
      <c r="B55" s="47" t="s">
        <v>122</v>
      </c>
      <c r="C55" s="195"/>
      <c r="D55" s="148" t="s">
        <v>106</v>
      </c>
      <c r="E55" s="43"/>
      <c r="F55" s="47" t="s">
        <v>123</v>
      </c>
      <c r="G55" s="195"/>
      <c r="H55" s="148" t="s">
        <v>106</v>
      </c>
    </row>
    <row r="56" spans="1:8" ht="15" customHeight="1" x14ac:dyDescent="0.35">
      <c r="A56" s="42"/>
      <c r="B56" s="54" t="s">
        <v>69</v>
      </c>
      <c r="C56" s="76" t="str">
        <f>IF(AND(LEFT($C$10, 4)="INV-", ISNUMBER(VALUE(MID($C$10, 5, LEN($C$10)-4))), $C$57&lt;&gt;""), $C$10 &amp; "-" &amp; VLOOKUP("Benefit Profile 7", BenefitNumbering[#All], 2, FALSE) &amp; "-3", "")</f>
        <v/>
      </c>
      <c r="D56" s="76" t="str">
        <f>IF(AND(LEFT($C$10, 4)="INV-", ISNUMBER(VALUE(MID($C$10, 5, LEN($C$10)-4))), $D$57&lt;&gt;""), $C$10 &amp; "-" &amp; VLOOKUP("Benefit Profile 7", BenefitNumberingVar[#All], 2, FALSE) &amp; "-3", "")</f>
        <v/>
      </c>
      <c r="E56" s="43"/>
      <c r="F56" s="54" t="s">
        <v>69</v>
      </c>
      <c r="G56" s="76" t="str">
        <f>IF(AND(LEFT($C$10, 4)="INV-", ISNUMBER(VALUE(MID($C$10, 5, LEN($C$10)-4))), $G$57&lt;&gt;""), $C$10 &amp; "-" &amp; VLOOKUP("Benefit Profile 7", BenefitNumbering[#All], 2, FALSE) &amp; "-4", "")</f>
        <v/>
      </c>
      <c r="H56" s="76" t="str">
        <f>IF(AND(LEFT($C$10, 4)="INV-", ISNUMBER(VALUE(MID($C$10, 5, LEN($C$10)-4))), $H$57&lt;&gt;""), $C$10 &amp; "-" &amp; VLOOKUP("Benefit Profile 7", BenefitNumberingVar[#All], 2, FALSE) &amp; "-4", "")</f>
        <v/>
      </c>
    </row>
    <row r="57" spans="1:8" ht="15" customHeight="1" x14ac:dyDescent="0.35">
      <c r="A57" s="55"/>
      <c r="B57" s="54" t="s">
        <v>117</v>
      </c>
      <c r="C57" s="169"/>
      <c r="D57" s="143"/>
      <c r="E57" s="78"/>
      <c r="F57" s="54" t="s">
        <v>117</v>
      </c>
      <c r="G57" s="169"/>
      <c r="H57" s="143"/>
    </row>
    <row r="58" spans="1:8" ht="15" customHeight="1" x14ac:dyDescent="0.35">
      <c r="A58" s="55"/>
      <c r="B58" s="54" t="s">
        <v>72</v>
      </c>
      <c r="C58" s="169"/>
      <c r="D58" s="143"/>
      <c r="E58" s="43"/>
      <c r="F58" s="54" t="s">
        <v>72</v>
      </c>
      <c r="G58" s="169"/>
      <c r="H58" s="143"/>
    </row>
    <row r="59" spans="1:8" ht="15" customHeight="1" x14ac:dyDescent="0.35">
      <c r="A59" s="55"/>
      <c r="B59" s="54" t="s">
        <v>74</v>
      </c>
      <c r="C59" s="169"/>
      <c r="D59" s="143"/>
      <c r="E59" s="43"/>
      <c r="F59" s="54" t="s">
        <v>74</v>
      </c>
      <c r="G59" s="169"/>
      <c r="H59" s="143"/>
    </row>
    <row r="60" spans="1:8" ht="15" customHeight="1" x14ac:dyDescent="0.35">
      <c r="A60" s="55"/>
      <c r="B60" s="54" t="s">
        <v>76</v>
      </c>
      <c r="C60" s="169"/>
      <c r="D60" s="143"/>
      <c r="E60" s="43"/>
      <c r="F60" s="54" t="s">
        <v>76</v>
      </c>
      <c r="G60" s="169"/>
      <c r="H60" s="143"/>
    </row>
    <row r="61" spans="1:8" ht="15" customHeight="1" x14ac:dyDescent="0.35">
      <c r="A61" s="55"/>
      <c r="B61" s="54" t="s">
        <v>78</v>
      </c>
      <c r="C61" s="169"/>
      <c r="D61" s="143"/>
      <c r="E61" s="43"/>
      <c r="F61" s="54" t="s">
        <v>78</v>
      </c>
      <c r="G61" s="169"/>
      <c r="H61" s="143"/>
    </row>
    <row r="62" spans="1:8" ht="15" customHeight="1" x14ac:dyDescent="0.35">
      <c r="A62" s="55"/>
      <c r="B62" s="115" t="s">
        <v>439</v>
      </c>
      <c r="C62" s="169" t="s">
        <v>104</v>
      </c>
      <c r="D62" s="143" t="s">
        <v>104</v>
      </c>
      <c r="E62" s="43"/>
      <c r="F62" s="115" t="s">
        <v>439</v>
      </c>
      <c r="G62" s="169" t="s">
        <v>104</v>
      </c>
      <c r="H62" s="143" t="s">
        <v>104</v>
      </c>
    </row>
    <row r="63" spans="1:8" ht="15" customHeight="1" x14ac:dyDescent="0.35">
      <c r="A63" s="55"/>
      <c r="B63" s="54" t="s">
        <v>118</v>
      </c>
      <c r="C63" s="171"/>
      <c r="D63" s="132"/>
      <c r="E63" s="43"/>
      <c r="F63" s="54" t="s">
        <v>118</v>
      </c>
      <c r="G63" s="171"/>
      <c r="H63" s="132"/>
    </row>
    <row r="64" spans="1:8" ht="15" customHeight="1" x14ac:dyDescent="0.35">
      <c r="A64" s="55"/>
      <c r="B64" s="54" t="s">
        <v>82</v>
      </c>
      <c r="C64" s="157"/>
      <c r="D64" s="133"/>
      <c r="E64" s="43"/>
      <c r="F64" s="54" t="s">
        <v>82</v>
      </c>
      <c r="G64" s="157"/>
      <c r="H64" s="133"/>
    </row>
    <row r="65" spans="1:8" ht="15" customHeight="1" x14ac:dyDescent="0.35">
      <c r="A65" s="55"/>
      <c r="B65" s="54" t="s">
        <v>84</v>
      </c>
      <c r="C65" s="157"/>
      <c r="D65" s="133"/>
      <c r="E65" s="43"/>
      <c r="F65" s="54" t="s">
        <v>84</v>
      </c>
      <c r="G65" s="157"/>
      <c r="H65" s="133"/>
    </row>
    <row r="66" spans="1:8" ht="15" customHeight="1" x14ac:dyDescent="0.35">
      <c r="A66" s="55"/>
      <c r="B66" s="54" t="s">
        <v>438</v>
      </c>
      <c r="C66" s="116">
        <f>C65-C64</f>
        <v>0</v>
      </c>
      <c r="D66" s="116">
        <f>D65-D64</f>
        <v>0</v>
      </c>
      <c r="E66" s="43"/>
      <c r="F66" s="54" t="s">
        <v>438</v>
      </c>
      <c r="G66" s="116">
        <f>G65-G64</f>
        <v>0</v>
      </c>
      <c r="H66" s="116">
        <f>H65-H64</f>
        <v>0</v>
      </c>
    </row>
    <row r="67" spans="1:8" ht="15" customHeight="1" x14ac:dyDescent="0.35">
      <c r="A67" s="55"/>
      <c r="B67" s="54" t="s">
        <v>119</v>
      </c>
      <c r="C67" s="171"/>
      <c r="D67" s="132"/>
      <c r="E67" s="43"/>
      <c r="F67" s="54" t="s">
        <v>119</v>
      </c>
      <c r="G67" s="171"/>
      <c r="H67" s="132"/>
    </row>
    <row r="68" spans="1:8" ht="15" customHeight="1" x14ac:dyDescent="0.35">
      <c r="A68" s="55"/>
      <c r="B68" s="54" t="s">
        <v>120</v>
      </c>
      <c r="C68" s="171"/>
      <c r="D68" s="132"/>
      <c r="E68" s="43"/>
      <c r="F68" s="54" t="s">
        <v>120</v>
      </c>
      <c r="G68" s="171"/>
      <c r="H68" s="132"/>
    </row>
    <row r="69" spans="1:8" ht="15" customHeight="1" x14ac:dyDescent="0.35">
      <c r="A69" s="55"/>
      <c r="B69" s="54" t="s">
        <v>121</v>
      </c>
      <c r="C69" s="98"/>
      <c r="D69" s="144"/>
      <c r="E69" s="43"/>
      <c r="F69" s="54" t="s">
        <v>121</v>
      </c>
      <c r="G69" s="98"/>
      <c r="H69" s="144"/>
    </row>
    <row r="70" spans="1:8" ht="15" customHeight="1" x14ac:dyDescent="0.35">
      <c r="A70" s="55"/>
      <c r="B70" s="54" t="s">
        <v>92</v>
      </c>
      <c r="C70" s="81" t="s">
        <v>104</v>
      </c>
      <c r="D70" s="145" t="s">
        <v>104</v>
      </c>
      <c r="E70" s="43"/>
      <c r="F70" s="54" t="s">
        <v>92</v>
      </c>
      <c r="G70" s="81" t="s">
        <v>104</v>
      </c>
      <c r="H70" s="145" t="s">
        <v>104</v>
      </c>
    </row>
    <row r="71" spans="1:8" ht="15" customHeight="1" x14ac:dyDescent="0.35">
      <c r="A71" s="55"/>
      <c r="B71" s="54" t="s">
        <v>98</v>
      </c>
      <c r="C71" s="82"/>
      <c r="D71" s="145"/>
      <c r="E71" s="43"/>
      <c r="F71" s="54" t="s">
        <v>98</v>
      </c>
      <c r="G71" s="82"/>
      <c r="H71" s="145"/>
    </row>
    <row r="72" spans="1:8" ht="15" customHeight="1" x14ac:dyDescent="0.35">
      <c r="A72" s="55"/>
      <c r="B72" s="54" t="s">
        <v>94</v>
      </c>
      <c r="C72" s="82"/>
      <c r="D72" s="145"/>
      <c r="E72" s="43"/>
      <c r="F72" s="54" t="s">
        <v>94</v>
      </c>
      <c r="G72" s="82"/>
      <c r="H72" s="145"/>
    </row>
    <row r="73" spans="1:8" ht="15" customHeight="1" x14ac:dyDescent="0.35">
      <c r="A73" s="55"/>
      <c r="B73" s="54" t="s">
        <v>96</v>
      </c>
      <c r="C73" s="82"/>
      <c r="D73" s="146"/>
      <c r="E73" s="43"/>
      <c r="F73" s="54" t="s">
        <v>96</v>
      </c>
      <c r="G73" s="82"/>
      <c r="H73" s="146"/>
    </row>
    <row r="74" spans="1:8" ht="15" customHeight="1" x14ac:dyDescent="0.35">
      <c r="A74" s="55"/>
      <c r="B74" s="77" t="s">
        <v>100</v>
      </c>
      <c r="C74" s="83" t="s">
        <v>104</v>
      </c>
      <c r="D74" s="188" t="s">
        <v>104</v>
      </c>
      <c r="E74" s="43"/>
      <c r="F74" s="77" t="s">
        <v>100</v>
      </c>
      <c r="G74" s="83" t="s">
        <v>104</v>
      </c>
      <c r="H74" s="188" t="s">
        <v>104</v>
      </c>
    </row>
    <row r="75" spans="1:8" ht="15" customHeight="1" x14ac:dyDescent="0.35"/>
    <row r="76" spans="1:8" ht="15" customHeight="1" x14ac:dyDescent="0.35"/>
    <row r="77" spans="1:8" ht="15" customHeight="1" x14ac:dyDescent="0.35"/>
    <row r="78" spans="1:8" ht="15" customHeight="1" x14ac:dyDescent="0.35">
      <c r="B78" s="239" t="s">
        <v>124</v>
      </c>
      <c r="C78" s="240"/>
    </row>
    <row r="79" spans="1:8" ht="15" customHeight="1" x14ac:dyDescent="0.35">
      <c r="B79" s="21" t="s">
        <v>125</v>
      </c>
      <c r="C79" s="20"/>
    </row>
    <row r="80" spans="1:8" ht="15" customHeight="1" x14ac:dyDescent="0.35">
      <c r="B80" s="21" t="s">
        <v>126</v>
      </c>
      <c r="C80" s="20"/>
    </row>
    <row r="81" spans="2:3" ht="15" customHeight="1" x14ac:dyDescent="0.35">
      <c r="B81" s="21" t="s">
        <v>127</v>
      </c>
      <c r="C81" s="22"/>
    </row>
    <row r="82" spans="2:3" ht="15" customHeight="1" x14ac:dyDescent="0.35">
      <c r="B82" s="21" t="s">
        <v>128</v>
      </c>
      <c r="C82" s="22"/>
    </row>
    <row r="83" spans="2:3" ht="15" customHeight="1" x14ac:dyDescent="0.35">
      <c r="B83" s="23" t="s">
        <v>129</v>
      </c>
      <c r="C83" s="24"/>
    </row>
    <row r="131" spans="2:7" hidden="1" x14ac:dyDescent="0.35"/>
    <row r="132" spans="2:7" hidden="1" x14ac:dyDescent="0.35"/>
    <row r="133" spans="2:7" hidden="1" x14ac:dyDescent="0.35">
      <c r="B133" s="29" t="s">
        <v>130</v>
      </c>
      <c r="C133" s="196">
        <f>_xlfn.IFNA(VLOOKUP($C$53,MeasureConfidence[[#All],[Measure Confidence Level]:[Confidence Score]],2,FALSE),0)</f>
        <v>0</v>
      </c>
      <c r="F133" s="58" t="s">
        <v>131</v>
      </c>
      <c r="G133" s="196">
        <f>_xlfn.IFNA(VLOOKUP($D$53,MeasureConfidence[[#All],[Measure Confidence Level]:[Confidence Score]],2,FALSE),0)</f>
        <v>0</v>
      </c>
    </row>
    <row r="134" spans="2:7" hidden="1" x14ac:dyDescent="0.35">
      <c r="B134" s="29" t="s">
        <v>132</v>
      </c>
      <c r="C134" s="196">
        <f>_xlfn.IFNA(VLOOKUP($G$53,MeasureConfidence[[#All],[Measure Confidence Level]:[Confidence Score]],2,FALSE),0)</f>
        <v>0</v>
      </c>
      <c r="F134" s="58" t="s">
        <v>133</v>
      </c>
      <c r="G134" s="196">
        <f>_xlfn.IFNA(VLOOKUP($H$53,MeasureConfidence[[#All],[Measure Confidence Level]:[Confidence Score]],2,FALSE),0)</f>
        <v>0</v>
      </c>
    </row>
    <row r="135" spans="2:7" hidden="1" x14ac:dyDescent="0.35">
      <c r="B135" s="29" t="s">
        <v>134</v>
      </c>
      <c r="C135" s="196">
        <f>_xlfn.IFNA(VLOOKUP($C$74,MeasureConfidence[[#All],[Measure Confidence Level]:[Confidence Score]],2,FALSE),0)</f>
        <v>0</v>
      </c>
      <c r="F135" s="58" t="s">
        <v>135</v>
      </c>
      <c r="G135" s="196">
        <f>_xlfn.IFNA(VLOOKUP($D$74,MeasureConfidence[[#All],[Measure Confidence Level]:[Confidence Score]],2,FALSE),0)</f>
        <v>0</v>
      </c>
    </row>
    <row r="136" spans="2:7" hidden="1" x14ac:dyDescent="0.35">
      <c r="B136" s="29" t="s">
        <v>136</v>
      </c>
      <c r="C136" s="196">
        <f>_xlfn.IFNA(VLOOKUP($G$74,MeasureConfidence[[#All],[Measure Confidence Level]:[Confidence Score]],2,FALSE),0)</f>
        <v>0</v>
      </c>
      <c r="F136" s="58" t="s">
        <v>137</v>
      </c>
      <c r="G136" s="196">
        <f>_xlfn.IFNA(VLOOKUP($H$74,MeasureConfidence[[#All],[Measure Confidence Level]:[Confidence Score]],2,FALSE),0)</f>
        <v>0</v>
      </c>
    </row>
    <row r="137" spans="2:7" hidden="1" x14ac:dyDescent="0.35">
      <c r="B137" s="29"/>
      <c r="C137" s="196"/>
      <c r="F137" s="58"/>
      <c r="G137" s="196"/>
    </row>
    <row r="138" spans="2:7" hidden="1" x14ac:dyDescent="0.35">
      <c r="B138" s="29" t="s">
        <v>138</v>
      </c>
      <c r="C138" s="196" t="e">
        <f>ROUND(AVERAGEIF(C133:C136,"&gt;0"),0)</f>
        <v>#DIV/0!</v>
      </c>
      <c r="F138" s="58" t="s">
        <v>138</v>
      </c>
      <c r="G138" s="196" t="e">
        <f>ROUND(AVERAGEIF(G133:G136,"&gt;0"),0)</f>
        <v>#DIV/0!</v>
      </c>
    </row>
    <row r="139" spans="2:7" hidden="1" x14ac:dyDescent="0.35">
      <c r="B139" s="29"/>
      <c r="C139" s="196"/>
      <c r="F139" s="58"/>
      <c r="G139" s="196"/>
    </row>
    <row r="140" spans="2:7" hidden="1" x14ac:dyDescent="0.35">
      <c r="B140" s="29" t="s">
        <v>139</v>
      </c>
      <c r="C140" s="196">
        <f>_xlfn.MINIFS(C133:C136,C133:C136,"&gt;0")</f>
        <v>0</v>
      </c>
      <c r="F140" s="58" t="s">
        <v>139</v>
      </c>
      <c r="G140" s="196">
        <f>_xlfn.MINIFS(G133:G136,G133:G136,"&gt;0")</f>
        <v>0</v>
      </c>
    </row>
    <row r="141" spans="2:7" hidden="1" x14ac:dyDescent="0.35"/>
    <row r="142" spans="2:7" hidden="1" x14ac:dyDescent="0.35"/>
    <row r="143" spans="2:7" hidden="1" x14ac:dyDescent="0.35"/>
    <row r="144" spans="2:7"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329" spans="10:10" x14ac:dyDescent="0.35">
      <c r="J329" s="3" t="s">
        <v>480</v>
      </c>
    </row>
  </sheetData>
  <sheetProtection algorithmName="SHA-512" hashValue="BWnfhv/H3oI4q0ahg9OJQhK0l2Yt/byyLZ0Dpekq7FvLh/uKvFHPaRcQkOy2IlnqSRa0JwQQUaAVqi9p0x7x6A==" saltValue="WQ8fSzgbQCjmBsHgdJZ9ww==" spinCount="100000" sheet="1" formatColumns="0" formatRows="0"/>
  <dataConsolidate link="1"/>
  <mergeCells count="7">
    <mergeCell ref="G24:G25"/>
    <mergeCell ref="H24:H25"/>
    <mergeCell ref="B78:C78"/>
    <mergeCell ref="B21:B25"/>
    <mergeCell ref="C21:C25"/>
    <mergeCell ref="D21:D25"/>
    <mergeCell ref="F24:F25"/>
  </mergeCells>
  <dataValidations xWindow="636" yWindow="531" count="25">
    <dataValidation allowBlank="1" showInputMessage="1" showErrorMessage="1" prompt="Investment Details - automatically filled from Benefit Profile 1." sqref="C10" xr:uid="{B3983ED9-6F81-45F6-97B9-88D33616BEBA}"/>
    <dataValidation type="decimal" errorStyle="information" operator="greaterThan" allowBlank="1" showInputMessage="1" showErrorMessage="1" error="Numerical value only please" prompt="Numerical value only please" sqref="G45:H45" xr:uid="{2CCCC62E-A3A7-43B8-A7E8-10BA0EE7312E}">
      <formula1>0</formula1>
    </dataValidation>
    <dataValidation type="list" allowBlank="1" showInputMessage="1" showErrorMessage="1" sqref="G41:H41 C62:D62 G62:H62" xr:uid="{CAFB1AB3-06EA-487C-A712-30BF6803AA74}">
      <formula1>"Please select, Increase, Decrease"</formula1>
    </dataValidation>
    <dataValidation type="list" operator="greaterThanOrEqual" allowBlank="1" showInputMessage="1" showErrorMessage="1" sqref="C41:D41" xr:uid="{A69514EE-3AC1-4947-81BC-FAFC73F51BB3}">
      <formula1>"Please select, Increase, Decrease"</formula1>
    </dataValidation>
    <dataValidation type="decimal" errorStyle="information" operator="lessThan" allowBlank="1" showInputMessage="1" showErrorMessage="1" error="Numerical value only please" prompt="Numerical value only please" sqref="C45:D45 C66:D66 G66:H66" xr:uid="{53C65554-59DD-4405-B814-AF529F2A9C74}">
      <formula1>0</formula1>
    </dataValidation>
    <dataValidation type="list" allowBlank="1" showInputMessage="1" showErrorMessage="1" sqref="C49 G49 C70 G70" xr:uid="{820FAA7E-9D95-4E05-815F-0EBF6B340369}">
      <formula1>"Please select, Weekly, Fortnightly, In planning, Monthly, Quarterly, Biannually, Year (calendar), Year (financial)"</formula1>
    </dataValidation>
    <dataValidation type="list" allowBlank="1" showInputMessage="1" showErrorMessage="1" sqref="C31" xr:uid="{9D33D1FF-7053-4C99-87F1-A2E07264838C}">
      <formula1>"Please select, Agency, Business, Citizen, Government"</formula1>
    </dataValidation>
    <dataValidation type="list" allowBlank="1" showInputMessage="1" showErrorMessage="1" sqref="C32" xr:uid="{0CD297D6-71AC-419B-ACF9-B1A8384D5FAD}">
      <formula1>"Please select, Data and digital foundations, Delivering for all people and business, Government for the future, Simple and seamless services, Trusted and secure"</formula1>
    </dataValidation>
    <dataValidation type="list" allowBlank="1" showInputMessage="1" showErrorMessage="1" sqref="C28" xr:uid="{E580D621-052D-4254-B7B1-0BCE762097D7}">
      <formula1>"Please select, Financial - Cashable, Financial - Non-Cashable, Non-financial"</formula1>
    </dataValidation>
    <dataValidation type="list" allowBlank="1" showInputMessage="1" showErrorMessage="1" sqref="C29" xr:uid="{76803DB4-6C50-4116-9F01-203AD6EA49E3}">
      <formula1>"Please select, Benefit, Disbenefit"</formula1>
    </dataValidation>
    <dataValidation allowBlank="1" showInputMessage="1" showErrorMessage="1" prompt="Benefit Endorsement fields will be automatically filled from Benefit Profile 1, except for date fields. _x000a_Please change if different." sqref="G18" xr:uid="{1970883B-8ED8-49C0-B7A1-E65E85D3C397}"/>
    <dataValidation allowBlank="1" showInputMessage="1" showErrorMessage="1" prompt="DTA numbering system. Automatically populated when the DTA Investment ID is filled." sqref="C18" xr:uid="{C4011EE5-9309-480E-999C-97729D2B4D8F}"/>
    <dataValidation errorStyle="information" allowBlank="1" showInputMessage="1" showErrorMessage="1" sqref="G22" xr:uid="{AACB0605-EBED-4FC9-B6B8-11C3E26C0B44}"/>
    <dataValidation type="date" operator="greaterThan" allowBlank="1" showInputMessage="1" showErrorMessage="1" sqref="G23" xr:uid="{169C4AAC-0024-43C4-B951-2949983056E1}">
      <formula1>36526</formula1>
    </dataValidation>
    <dataValidation type="date" operator="greaterThan" allowBlank="1" showInputMessage="1" showErrorMessage="1" errorTitle="Date error" error="Only dates after 1/1/2022 are accepted. If this date occurs prior to that time, note this in the Comments field in the 'Benefit Endorsement' section. Format date as dd/mm/yyyy." sqref="C46:D47 C79:C80 C42:D42 G67:H68 G46:H47 C67:D68 G42:H42 G63:H63 C63:D63" xr:uid="{49EF023F-24BC-4C2F-AB7E-5637529DF5D9}">
      <formula1>1</formula1>
    </dataValidation>
    <dataValidation type="decimal" errorStyle="warning" allowBlank="1" showInputMessage="1" showErrorMessage="1" sqref="H48 D69 D48 H69" xr:uid="{55E26501-BE72-4A2D-AA4B-AC31AEB52757}">
      <formula1>0</formula1>
      <formula2>1</formula2>
    </dataValidation>
    <dataValidation type="decimal" allowBlank="1" showInputMessage="1" showErrorMessage="1" sqref="C48 G48 C69 G69" xr:uid="{507BD4E9-90F4-4E6D-804D-2C85B8217EC9}">
      <formula1>0</formula1>
      <formula2>1</formula2>
    </dataValidation>
    <dataValidation allowBlank="1" showInputMessage="1" showErrorMessage="1" prompt="Automatically calculated based on the lowest Benefit Confidence Level of the Measures/KPIs." sqref="G30" xr:uid="{3388CD10-B3E9-484A-B2A6-84EDF9FCCCD6}"/>
    <dataValidation allowBlank="1" showInputMessage="1" showErrorMessage="1" prompt="Automatically populated based on the earliest Realisation Start Date of the Measure/KPI date." sqref="G28" xr:uid="{69D06E44-C1C7-49DC-9747-0D4D2C815F27}"/>
    <dataValidation allowBlank="1" showInputMessage="1" showErrorMessage="1" prompt="Automatically populated based on the latest Realisation End Date of the Measure/KPI date." sqref="G29" xr:uid="{7C8E126B-FF13-4C4F-BE68-6CE536BAC667}"/>
    <dataValidation operator="greaterThanOrEqual" allowBlank="1" showInputMessage="1" showErrorMessage="1" sqref="C40" xr:uid="{E2CA705E-B3B2-42AB-B527-5386D65B948C}"/>
    <dataValidation type="date" errorStyle="warning" operator="greaterThan" allowBlank="1" showInputMessage="1" showErrorMessage="1" sqref="G21" xr:uid="{50943288-919A-45D2-967C-32CE5E963259}">
      <formula1>36526</formula1>
    </dataValidation>
    <dataValidation type="decimal" operator="greaterThan" allowBlank="1" showInputMessage="1" showErrorMessage="1" error="Numerical value only please" prompt="Numerical value only please" sqref="C43:C44 G43:G44 G64:G65 C64:C65" xr:uid="{FE9092F9-DFA9-4FDA-9C3C-026CFDEA26A0}">
      <formula1>0.0000000000001</formula1>
    </dataValidation>
    <dataValidation allowBlank="1" showInputMessage="1" showErrorMessage="1" prompt="Automatically populated when the Measure Name's cell is entered/filled" sqref="C35 G35 G56 C56" xr:uid="{4D31464B-3B13-4D45-AE53-6CE49F564B64}"/>
    <dataValidation type="decimal" operator="greaterThan" allowBlank="1" showInputMessage="1" showErrorMessage="1" sqref="D43:D44 H43:H44 H64:H65 D64:D65" xr:uid="{2E2A6906-E727-4F1F-B499-C21A9B50BAF8}">
      <formula1>0.0000000000001</formula1>
    </dataValidation>
  </dataValidations>
  <printOptions horizontalCentered="1"/>
  <pageMargins left="0" right="0" top="0.74803149606299213" bottom="0.35433070866141736" header="0.31496062992125984" footer="0.31496062992125984"/>
  <pageSetup paperSize="9" scale="71" orientation="portrait" r:id="rId1"/>
  <ignoredErrors>
    <ignoredError sqref="C12:C14 G18:H25" unlockedFormula="1"/>
  </ignoredErrors>
  <drawing r:id="rId2"/>
  <extLst>
    <ext xmlns:x14="http://schemas.microsoft.com/office/spreadsheetml/2009/9/main" uri="{CCE6A557-97BC-4b89-ADB6-D9C93CAAB3DF}">
      <x14:dataValidations xmlns:xm="http://schemas.microsoft.com/office/excel/2006/main" xWindow="636" yWindow="531" count="9">
        <x14:dataValidation type="list" allowBlank="1" showInputMessage="1" showErrorMessage="1" xr:uid="{7546F8EB-8A68-4CA4-A93F-94DB69B90DF7}">
          <x14:formula1>
            <xm:f>'Validation Table'!$B$3:$B$6</xm:f>
          </x14:formula1>
          <xm:sqref>D28</xm:sqref>
        </x14:dataValidation>
        <x14:dataValidation type="list" allowBlank="1" showInputMessage="1" showErrorMessage="1" xr:uid="{08FBDB4A-22E2-4FB3-A526-B22AF1097A18}">
          <x14:formula1>
            <xm:f>'Validation Table'!$C$3:$C$17</xm:f>
          </x14:formula1>
          <xm:sqref>C30:D30</xm:sqref>
        </x14:dataValidation>
        <x14:dataValidation type="list" allowBlank="1" showInputMessage="1" showErrorMessage="1" xr:uid="{0B770A54-84E8-4B43-982A-E1E3F5476A6C}">
          <x14:formula1>
            <xm:f>'Validation Table'!$E$3:$E$7</xm:f>
          </x14:formula1>
          <xm:sqref>D31</xm:sqref>
        </x14:dataValidation>
        <x14:dataValidation type="list" allowBlank="1" showInputMessage="1" showErrorMessage="1" xr:uid="{FB1A9F31-4E52-46B1-9E7D-30FE262E6F21}">
          <x14:formula1>
            <xm:f>'Validation Table'!$F$3:$F$8</xm:f>
          </x14:formula1>
          <xm:sqref>D32</xm:sqref>
        </x14:dataValidation>
        <x14:dataValidation type="list" allowBlank="1" showInputMessage="1" showErrorMessage="1" xr:uid="{CF18E81C-73EA-4A57-97FD-ED264E16D584}">
          <x14:formula1>
            <xm:f>'Validation Table'!$H$3:$H$11</xm:f>
          </x14:formula1>
          <xm:sqref>D70 H49 D49 H70</xm:sqref>
        </x14:dataValidation>
        <x14:dataValidation type="list" allowBlank="1" showInputMessage="1" showErrorMessage="1" xr:uid="{31A118A2-954F-490E-9971-FA1B29D00237}">
          <x14:formula1>
            <xm:f>'Validation Table'!$D$3:$D$7</xm:f>
          </x14:formula1>
          <xm:sqref>D29</xm:sqref>
        </x14:dataValidation>
        <x14:dataValidation type="list" allowBlank="1" showInputMessage="1" showErrorMessage="1" xr:uid="{D9223072-5F4F-4702-9A87-FE5C889E5A93}">
          <x14:formula1>
            <xm:f>'0. PortfolioAgencyLinks'!$T$1:$T$193</xm:f>
          </x14:formula1>
          <xm:sqref>C13:C14</xm:sqref>
        </x14:dataValidation>
        <x14:dataValidation type="list" allowBlank="1" showInputMessage="1" showErrorMessage="1" xr:uid="{05404B9D-EFD8-4D00-9C0F-1185A6110C34}">
          <x14:formula1>
            <xm:f>'Validation Table'!$I$3:$I$8</xm:f>
          </x14:formula1>
          <xm:sqref>C53:D53 G53:H53 C74:D74 G74:H74</xm:sqref>
        </x14:dataValidation>
        <x14:dataValidation type="list" allowBlank="1" showInputMessage="1" showErrorMessage="1" prompt="Agency fields will be automatically filled from Benefit Profile 1. Please change if different." xr:uid="{92AB5DC2-567D-48F0-954A-DC7A7F4C1FA1}">
          <x14:formula1>
            <xm:f>'0. PortfolioAgencyLinks'!$T$1:$T$193</xm:f>
          </x14:formula1>
          <xm:sqref>C12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9764c01-d498-4143-a77f-1ab3e72c27cd"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647e5b7090c4d0ea7790e4632ed6396 xmlns="ebcd6243-c41e-4d26-9c49-501914ff34cc">
      <Terms xmlns="http://schemas.microsoft.com/office/infopath/2007/PartnerControls"/>
    </b647e5b7090c4d0ea7790e4632ed6396>
    <RecordClass xmlns="ebcd6243-c41e-4d26-9c49-501914ff34cc" xsi:nil="true"/>
    <RecordPhysical xmlns="ebcd6243-c41e-4d26-9c49-501914ff34cc" xsi:nil="true"/>
    <PMC_path xmlns="ebcd6243-c41e-4d26-9c49-501914ff34cc" xsi:nil="true"/>
    <_Status xmlns="http://schemas.microsoft.com/sharepoint/v3/fields">Not Started</_Status>
    <RecordReferenceNumber xmlns="ebcd6243-c41e-4d26-9c49-501914ff34cc" xsi:nil="true"/>
    <TaxKeywordTaxHTField xmlns="865b335f-1e0c-45fb-a053-8ea4778b64e6">
      <Terms xmlns="http://schemas.microsoft.com/office/infopath/2007/PartnerControls"/>
    </TaxKeywordTaxHTField>
    <TaxCatchAll xmlns="ebcd6243-c41e-4d26-9c49-501914ff34cc" xsi:nil="true"/>
    <b85597615db24de983933c9f5cbbcb6b xmlns="ebcd6243-c41e-4d26-9c49-501914ff34cc">
      <Terms xmlns="http://schemas.microsoft.com/office/infopath/2007/PartnerControls"/>
    </b85597615db24de983933c9f5cbbcb6b>
    <b711542f29d747ea8c29a6428706c10f xmlns="ebcd6243-c41e-4d26-9c49-501914ff34cc">
      <Terms xmlns="http://schemas.microsoft.com/office/infopath/2007/PartnerControls"/>
    </b711542f29d747ea8c29a6428706c10f>
    <Retention_Date xmlns="ebcd6243-c41e-4d26-9c49-501914ff34cc" xsi:nil="true"/>
    <RecordLink xmlns="ebcd6243-c41e-4d26-9c49-501914ff34cc">
      <Url xsi:nil="true"/>
      <Description xsi:nil="true"/>
    </RecordLink>
    <DisplayTemplateJSIconUrl xmlns="http://schemas.microsoft.com/sharepoint/v3">
      <Url xsi:nil="true"/>
      <Description xsi:nil="true"/>
    </DisplayTemplateJSIconUrl>
    <RecordDate xmlns="ebcd6243-c41e-4d26-9c49-501914ff34cc" xsi:nil="true"/>
    <_dlc_DocId xmlns="ebcd6243-c41e-4d26-9c49-501914ff34cc">DTAPRTMNGASU-1170289129-3224</_dlc_DocId>
    <_dlc_DocIdUrl xmlns="ebcd6243-c41e-4d26-9c49-501914ff34cc">
      <Url>https://dta1.sharepoint.com/sites/ManagementAssurance/_layouts/15/DocIdRedir.aspx?ID=DTAPRTMNGASU-1170289129-3224</Url>
      <Description>DTAPRTMNGASU-1170289129-3224</Description>
    </_dlc_DocIdUrl>
    <Status_x0020_-_x0020_System_x0020_Management xmlns="0d39ac24-3e43-4b02-85b9-85a29fb90f71">Published</Status_x0020_-_x0020_System_x0020_Management>
    <_dlc_DocIdPersistId xmlns="ebcd6243-c41e-4d26-9c49-501914ff34cc" xsi:nil="true"/>
    <lcf76f155ced4ddcb4097134ff3c332f xmlns="f6311a7c-10d6-4def-b40a-a0adcc529f08">
      <Terms xmlns="http://schemas.microsoft.com/office/infopath/2007/PartnerControls"/>
    </lcf76f155ced4ddcb4097134ff3c332f>
    <Author0 xmlns="f6311a7c-10d6-4def-b40a-a0adcc529f08">
      <UserInfo>
        <DisplayName/>
        <AccountId xsi:nil="true"/>
        <AccountType/>
      </UserInfo>
    </Author0>
    <Description xmlns="f6311a7c-10d6-4def-b40a-a0adcc529f08" xsi:nil="true"/>
    <o74667ab976b4c5abb273c0e8369f663 xmlns="ebcd6243-c41e-4d26-9c49-501914ff34cc">
      <Terms xmlns="http://schemas.microsoft.com/office/infopath/2007/PartnerControls"/>
    </o74667ab976b4c5abb273c0e8369f663>
  </documentManagement>
</p:properties>
</file>

<file path=customXml/item4.xml><?xml version="1.0" encoding="utf-8"?>
<ct:contentTypeSchema xmlns:ct="http://schemas.microsoft.com/office/2006/metadata/contentType" xmlns:ma="http://schemas.microsoft.com/office/2006/metadata/properties/metaAttributes" ct:_="" ma:_="" ma:contentTypeName="DTA D Document" ma:contentTypeID="0x010100ACCE801B185E9C47A8E90B22741C659801009F81FE64BEC4F14F86B0BC9A39446A5B" ma:contentTypeVersion="32" ma:contentTypeDescription="Documents which are primarily but not exclusively associated with the delivery of digital initiatives and platforms across Government." ma:contentTypeScope="" ma:versionID="db8ae3288276f7773e651243a15c5b83">
  <xsd:schema xmlns:xsd="http://www.w3.org/2001/XMLSchema" xmlns:xs="http://www.w3.org/2001/XMLSchema" xmlns:p="http://schemas.microsoft.com/office/2006/metadata/properties" xmlns:ns1="http://schemas.microsoft.com/sharepoint/v3" xmlns:ns2="ebcd6243-c41e-4d26-9c49-501914ff34cc" xmlns:ns3="865b335f-1e0c-45fb-a053-8ea4778b64e6" xmlns:ns4="f6311a7c-10d6-4def-b40a-a0adcc529f08" xmlns:ns5="http://schemas.microsoft.com/sharepoint/v3/fields" xmlns:ns6="0d39ac24-3e43-4b02-85b9-85a29fb90f71" targetNamespace="http://schemas.microsoft.com/office/2006/metadata/properties" ma:root="true" ma:fieldsID="7e3eb0168af58c9d0038641b10bd4a51" ns1:_="" ns2:_="" ns3:_="" ns4:_="" ns5:_="" ns6:_="">
    <xsd:import namespace="http://schemas.microsoft.com/sharepoint/v3"/>
    <xsd:import namespace="ebcd6243-c41e-4d26-9c49-501914ff34cc"/>
    <xsd:import namespace="865b335f-1e0c-45fb-a053-8ea4778b64e6"/>
    <xsd:import namespace="f6311a7c-10d6-4def-b40a-a0adcc529f08"/>
    <xsd:import namespace="http://schemas.microsoft.com/sharepoint/v3/fields"/>
    <xsd:import namespace="0d39ac24-3e43-4b02-85b9-85a29fb90f71"/>
    <xsd:element name="properties">
      <xsd:complexType>
        <xsd:sequence>
          <xsd:element name="documentManagement">
            <xsd:complexType>
              <xsd:all>
                <xsd:element ref="ns2:_dlc_DocId" minOccurs="0"/>
                <xsd:element ref="ns2:_dlc_DocIdUrl" minOccurs="0"/>
                <xsd:element ref="ns2:_dlc_DocIdPersistId" minOccurs="0"/>
                <xsd:element ref="ns2:o74667ab976b4c5abb273c0e8369f663" minOccurs="0"/>
                <xsd:element ref="ns2:TaxCatchAll" minOccurs="0"/>
                <xsd:element ref="ns2:TaxCatchAllLabel" minOccurs="0"/>
                <xsd:element ref="ns2:b647e5b7090c4d0ea7790e4632ed6396" minOccurs="0"/>
                <xsd:element ref="ns2:RecordLink" minOccurs="0"/>
                <xsd:element ref="ns1:DisplayTemplateJSIconUrl" minOccurs="0"/>
                <xsd:element ref="ns2:RecordReferenceNumber" minOccurs="0"/>
                <xsd:element ref="ns2:RecordClass" minOccurs="0"/>
                <xsd:element ref="ns2:Retention_Date" minOccurs="0"/>
                <xsd:element ref="ns2:PMC_path" minOccurs="0"/>
                <xsd:element ref="ns2:RecordDate" minOccurs="0"/>
                <xsd:element ref="ns2:RecordPhysical" minOccurs="0"/>
                <xsd:element ref="ns3:TaxKeywordTaxHTField" minOccurs="0"/>
                <xsd:element ref="ns4:Author0" minOccurs="0"/>
                <xsd:element ref="ns2:b85597615db24de983933c9f5cbbcb6b"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5:_Status" minOccurs="0"/>
                <xsd:element ref="ns6:SharedWithUsers" minOccurs="0"/>
                <xsd:element ref="ns6:SharedWithDetails" minOccurs="0"/>
                <xsd:element ref="ns4:MediaServiceObjectDetectorVersions" minOccurs="0"/>
                <xsd:element ref="ns4:lcf76f155ced4ddcb4097134ff3c332f" minOccurs="0"/>
                <xsd:element ref="ns4:MediaServiceSearchProperties" minOccurs="0"/>
                <xsd:element ref="ns4:MediaLengthInSeconds" minOccurs="0"/>
                <xsd:element ref="ns4:Description" minOccurs="0"/>
                <xsd:element ref="ns2:b711542f29d747ea8c29a6428706c10f" minOccurs="0"/>
                <xsd:element ref="ns6:Status_x0020_-_x0020_System_x0020_Manage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isplayTemplateJSIconUrl" ma:index="18" nillable="true" ma:displayName="Icon" ma:description="Icon to be displayed for this override." ma:format="Image" ma:hidden="true" ma:internalName="DisplayTemplateJSIcon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cd6243-c41e-4d26-9c49-501914ff34c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hidden="true"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o74667ab976b4c5abb273c0e8369f663" ma:index="11" nillable="true" ma:taxonomy="true" ma:internalName="o74667ab976b4c5abb273c0e8369f663" ma:taxonomyFieldName="RecordAuthority" ma:displayName="RecordAuthority" ma:default="" ma:fieldId="{874667ab-976b-4c5a-bb27-3c0e8369f663}" ma:sspId="59764c01-d498-4143-a77f-1ab3e72c27cd" ma:termSetId="3948b780-51b8-4c59-95a0-263fe077a241"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dbdbcb28-494d-48ae-be60-0fc4a69dc50e}" ma:internalName="TaxCatchAll" ma:readOnly="false" ma:showField="CatchAllData" ma:web="0d39ac24-3e43-4b02-85b9-85a29fb90f71">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dbdbcb28-494d-48ae-be60-0fc4a69dc50e}" ma:internalName="TaxCatchAllLabel" ma:readOnly="true" ma:showField="CatchAllDataLabel" ma:web="0d39ac24-3e43-4b02-85b9-85a29fb90f71">
      <xsd:complexType>
        <xsd:complexContent>
          <xsd:extension base="dms:MultiChoiceLookup">
            <xsd:sequence>
              <xsd:element name="Value" type="dms:Lookup" maxOccurs="unbounded" minOccurs="0" nillable="true"/>
            </xsd:sequence>
          </xsd:extension>
        </xsd:complexContent>
      </xsd:complexType>
    </xsd:element>
    <xsd:element name="b647e5b7090c4d0ea7790e4632ed6396" ma:index="15" nillable="true" ma:taxonomy="true" ma:internalName="b647e5b7090c4d0ea7790e4632ed6396" ma:taxonomyFieldName="RecordType" ma:displayName="RecordType" ma:readOnly="false" ma:default="" ma:fieldId="{b647e5b7-090c-4d0e-a779-0e4632ed6396}" ma:sspId="59764c01-d498-4143-a77f-1ab3e72c27cd" ma:termSetId="267f5c2d-7708-476f-905c-b72d04c4d049" ma:anchorId="00000000-0000-0000-0000-000000000000" ma:open="false" ma:isKeyword="false">
      <xsd:complexType>
        <xsd:sequence>
          <xsd:element ref="pc:Terms" minOccurs="0" maxOccurs="1"/>
        </xsd:sequence>
      </xsd:complexType>
    </xsd:element>
    <xsd:element name="RecordLink" ma:index="17" nillable="true" ma:displayName="RecordLink" ma:description="Link to general record management details maintained in a centralised database." ma:format="Hyperlink" ma:hidden="true" ma:internalName="Record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ecordReferenceNumber" ma:index="19" nillable="true" ma:displayName="RecordReferenceNumber" ma:description="Previous record reference form an inherited record set -  used to  isolate the information within the DTA information sources." ma:hidden="true" ma:internalName="RecordReferenceNumber" ma:readOnly="false">
      <xsd:simpleType>
        <xsd:restriction base="dms:Text">
          <xsd:maxLength value="255"/>
        </xsd:restriction>
      </xsd:simpleType>
    </xsd:element>
    <xsd:element name="RecordClass" ma:index="20" nillable="true" ma:displayName="RecordClass" ma:description="Specific record classification based on previous determination or specific action from DTA" ma:hidden="true" ma:internalName="RecordClass" ma:readOnly="false">
      <xsd:simpleType>
        <xsd:restriction base="dms:Text">
          <xsd:maxLength value="255"/>
        </xsd:restriction>
      </xsd:simpleType>
    </xsd:element>
    <xsd:element name="Retention_Date" ma:index="21" nillable="true" ma:displayName="RetentionDate" ma:description="a predetermined retention date from an inherited process" ma:format="DateOnly" ma:hidden="true" ma:internalName="Retention_Date" ma:readOnly="false">
      <xsd:simpleType>
        <xsd:restriction base="dms:DateTime"/>
      </xsd:simpleType>
    </xsd:element>
    <xsd:element name="PMC_path" ma:index="22" nillable="true" ma:displayName="PMC_path" ma:description="the original path of the file in PMC network drive prior to migration to O365" ma:hidden="true" ma:internalName="PMC_path" ma:readOnly="false">
      <xsd:simpleType>
        <xsd:restriction base="dms:Text">
          <xsd:maxLength value="255"/>
        </xsd:restriction>
      </xsd:simpleType>
    </xsd:element>
    <xsd:element name="RecordDate" ma:index="23" nillable="true" ma:displayName="RecordDate" ma:description="The allocation of a specific date on which to  calculate the retention time within the record management system.  Used when the relevant date is not a typical  system driven created/modified type date." ma:format="DateOnly" ma:hidden="true" ma:internalName="RecordDate" ma:readOnly="false">
      <xsd:simpleType>
        <xsd:restriction base="dms:DateTime"/>
      </xsd:simpleType>
    </xsd:element>
    <xsd:element name="RecordPhysical" ma:index="24" nillable="true" ma:displayName="RecordPhysical" ma:description="Allow for the description of the management of the Physical original of the electronic record including any disposal or short term holding." ma:hidden="true" ma:internalName="RecordPhysical" ma:readOnly="false">
      <xsd:simpleType>
        <xsd:restriction base="dms:Note"/>
      </xsd:simpleType>
    </xsd:element>
    <xsd:element name="b85597615db24de983933c9f5cbbcb6b" ma:index="29" nillable="true" ma:taxonomy="true" ma:internalName="b85597615db24de983933c9f5cbbcb6b" ma:taxonomyFieldName="Record_x0020_Area" ma:displayName="RecordArea" ma:readOnly="false" ma:default="" ma:fieldId="{b8559761-5db2-4de9-8393-3c9f5cbbcb6b}" ma:sspId="59764c01-d498-4143-a77f-1ab3e72c27cd" ma:termSetId="87dc6e73-cb07-4c11-9880-656c9c7bda15" ma:anchorId="00000000-0000-0000-0000-000000000000" ma:open="false" ma:isKeyword="false">
      <xsd:complexType>
        <xsd:sequence>
          <xsd:element ref="pc:Terms" minOccurs="0" maxOccurs="1"/>
        </xsd:sequence>
      </xsd:complexType>
    </xsd:element>
    <xsd:element name="b711542f29d747ea8c29a6428706c10f" ma:index="51" nillable="true" ma:taxonomy="true" ma:internalName="b711542f29d747ea8c29a6428706c10f" ma:taxonomyFieldName="InformationManagement" ma:displayName="InformationManagement" ma:readOnly="false" ma:default="" ma:fieldId="{b711542f-29d7-47ea-8c29-a6428706c10f}" ma:sspId="59764c01-d498-4143-a77f-1ab3e72c27cd" ma:termSetId="a4ea0a64-7d5b-44e0-af49-0d62d2a3e7e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65b335f-1e0c-45fb-a053-8ea4778b64e6" elementFormDefault="qualified">
    <xsd:import namespace="http://schemas.microsoft.com/office/2006/documentManagement/types"/>
    <xsd:import namespace="http://schemas.microsoft.com/office/infopath/2007/PartnerControls"/>
    <xsd:element name="TaxKeywordTaxHTField" ma:index="25" nillable="true" ma:taxonomy="true" ma:internalName="TaxKeywordTaxHTField" ma:taxonomyFieldName="TaxKeyword" ma:displayName="Enterprise Keywords" ma:readOnly="false" ma:fieldId="{23f27201-bee3-471e-b2e7-b64fd8b7ca38}" ma:taxonomyMulti="true" ma:sspId="59764c01-d498-4143-a77f-1ab3e72c27cd"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6311a7c-10d6-4def-b40a-a0adcc529f08" elementFormDefault="qualified">
    <xsd:import namespace="http://schemas.microsoft.com/office/2006/documentManagement/types"/>
    <xsd:import namespace="http://schemas.microsoft.com/office/infopath/2007/PartnerControls"/>
    <xsd:element name="Author0" ma:index="28" nillable="true" ma:displayName="Author" ma:description="Individual/s involved in the creation of the file." ma:format="Dropdown" ma:list="UserInfo" ma:SharePointGroup="0" ma:internalName="Author0"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hidden="true" ma:internalName="MediaServiceKeyPoints" ma:readOnly="true">
      <xsd:simpleType>
        <xsd:restriction base="dms:Note"/>
      </xsd:simpleType>
    </xsd:element>
    <xsd:element name="MediaServiceDateTaken" ma:index="34" nillable="true" ma:displayName="MediaServiceDateTaken" ma:hidden="true" ma:internalName="MediaServiceDateTaken" ma:readOnly="true">
      <xsd:simpleType>
        <xsd:restriction base="dms:Text"/>
      </xsd:simpleType>
    </xsd:element>
    <xsd:element name="MediaServiceAutoTags" ma:index="35" nillable="true" ma:displayName="Tags" ma:hidden="true" ma:internalName="MediaServiceAutoTags" ma:readOnly="true">
      <xsd:simpleType>
        <xsd:restriction base="dms:Text"/>
      </xsd:simpleType>
    </xsd:element>
    <xsd:element name="MediaServiceLocation" ma:index="36" nillable="true" ma:displayName="Location" ma:hidden="true" ma:internalName="MediaServiceLocation" ma:readOnly="true">
      <xsd:simpleType>
        <xsd:restriction base="dms:Text"/>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OCR" ma:index="39" nillable="true" ma:displayName="Extracted Text" ma:hidden="true" ma:internalName="MediaServiceOCR"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59764c01-d498-4143-a77f-1ab3e72c27cd" ma:termSetId="09814cd3-568e-fe90-9814-8d621ff8fb84" ma:anchorId="fba54fb3-c3e1-fe81-a776-ca4b69148c4d" ma:open="true" ma:isKeyword="false">
      <xsd:complexType>
        <xsd:sequence>
          <xsd:element ref="pc:Terms" minOccurs="0" maxOccurs="1"/>
        </xsd:sequence>
      </xsd:complexType>
    </xsd:element>
    <xsd:element name="MediaServiceSearchProperties" ma:index="46" nillable="true" ma:displayName="MediaServiceSearchProperties" ma:hidden="true" ma:internalName="MediaServiceSearchProperties" ma:readOnly="true">
      <xsd:simpleType>
        <xsd:restriction base="dms:Note"/>
      </xsd:simpleType>
    </xsd:element>
    <xsd:element name="MediaLengthInSeconds" ma:index="48" nillable="true" ma:displayName="MediaLengthInSeconds" ma:hidden="true" ma:internalName="MediaLengthInSeconds" ma:readOnly="true">
      <xsd:simpleType>
        <xsd:restriction base="dms:Unknown"/>
      </xsd:simpleType>
    </xsd:element>
    <xsd:element name="Description" ma:index="50" nillable="true" ma:displayName="Description" ma:format="Dropdown" ma:internalName="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40" nillable="true" ma:displayName="Status" ma:default="Not Started" ma:format="Dropdown" ma:hidden="true"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d39ac24-3e43-4b02-85b9-85a29fb90f71" elementFormDefault="qualified">
    <xsd:import namespace="http://schemas.microsoft.com/office/2006/documentManagement/types"/>
    <xsd:import namespace="http://schemas.microsoft.com/office/infopath/2007/PartnerControls"/>
    <xsd:element name="SharedWithUsers" ma:index="4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hidden="true" ma:internalName="SharedWithDetails" ma:readOnly="true">
      <xsd:simpleType>
        <xsd:restriction base="dms:Note"/>
      </xsd:simpleType>
    </xsd:element>
    <xsd:element name="Status_x0020_-_x0020_System_x0020_Management" ma:index="52" nillable="true" ma:displayName="Status - System Management" ma:default="WIP" ma:format="Dropdown" ma:internalName="Status_x0020__x002d__x0020_System_x0020_Management">
      <xsd:simpleType>
        <xsd:restriction base="dms:Choice">
          <xsd:enumeration value="Published"/>
          <xsd:enumeration value="WIP"/>
          <xsd:enumeration value="Archi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F08069D-A0E4-406B-A1E5-E8FE908333BE}">
  <ds:schemaRefs>
    <ds:schemaRef ds:uri="Microsoft.SharePoint.Taxonomy.ContentTypeSync"/>
  </ds:schemaRefs>
</ds:datastoreItem>
</file>

<file path=customXml/itemProps2.xml><?xml version="1.0" encoding="utf-8"?>
<ds:datastoreItem xmlns:ds="http://schemas.openxmlformats.org/officeDocument/2006/customXml" ds:itemID="{EA61E363-A99B-48D9-B807-4814B5B2F624}">
  <ds:schemaRefs>
    <ds:schemaRef ds:uri="http://schemas.microsoft.com/sharepoint/v3/contenttype/forms"/>
  </ds:schemaRefs>
</ds:datastoreItem>
</file>

<file path=customXml/itemProps3.xml><?xml version="1.0" encoding="utf-8"?>
<ds:datastoreItem xmlns:ds="http://schemas.openxmlformats.org/officeDocument/2006/customXml" ds:itemID="{1FFF6FA1-BBA8-4252-B491-84961A80BD34}">
  <ds:schemaRefs>
    <ds:schemaRef ds:uri="f6311a7c-10d6-4def-b40a-a0adcc529f08"/>
    <ds:schemaRef ds:uri="http://purl.org/dc/dcmitype/"/>
    <ds:schemaRef ds:uri="http://schemas.microsoft.com/office/infopath/2007/PartnerControls"/>
    <ds:schemaRef ds:uri="http://schemas.openxmlformats.org/package/2006/metadata/core-properties"/>
    <ds:schemaRef ds:uri="http://purl.org/dc/terms/"/>
    <ds:schemaRef ds:uri="http://purl.org/dc/elements/1.1/"/>
    <ds:schemaRef ds:uri="0d39ac24-3e43-4b02-85b9-85a29fb90f71"/>
    <ds:schemaRef ds:uri="http://schemas.microsoft.com/office/2006/documentManagement/types"/>
    <ds:schemaRef ds:uri="ebcd6243-c41e-4d26-9c49-501914ff34cc"/>
    <ds:schemaRef ds:uri="http://schemas.microsoft.com/sharepoint/v3/fields"/>
    <ds:schemaRef ds:uri="865b335f-1e0c-45fb-a053-8ea4778b64e6"/>
    <ds:schemaRef ds:uri="http://schemas.microsoft.com/sharepoint/v3"/>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3DE78E4A-95D4-490F-ABD3-69D5525A62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cd6243-c41e-4d26-9c49-501914ff34cc"/>
    <ds:schemaRef ds:uri="865b335f-1e0c-45fb-a053-8ea4778b64e6"/>
    <ds:schemaRef ds:uri="f6311a7c-10d6-4def-b40a-a0adcc529f08"/>
    <ds:schemaRef ds:uri="http://schemas.microsoft.com/sharepoint/v3/fields"/>
    <ds:schemaRef ds:uri="0d39ac24-3e43-4b02-85b9-85a29fb90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BF6DE3B-F130-4255-8D83-020B80A451F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136</vt:i4>
      </vt:variant>
    </vt:vector>
  </HeadingPairs>
  <TitlesOfParts>
    <vt:vector size="150" baseType="lpstr">
      <vt:lpstr>READ ME</vt:lpstr>
      <vt:lpstr>Guidance </vt:lpstr>
      <vt:lpstr>Benefit Profile 1</vt:lpstr>
      <vt:lpstr>Benefit Profile 2</vt:lpstr>
      <vt:lpstr>Benefit Profile 3</vt:lpstr>
      <vt:lpstr>Benefit Profile 4</vt:lpstr>
      <vt:lpstr>Benefit Profile 5</vt:lpstr>
      <vt:lpstr>Benefit Profile 6</vt:lpstr>
      <vt:lpstr>Benefit Profile 7</vt:lpstr>
      <vt:lpstr>Benefit Profile 8</vt:lpstr>
      <vt:lpstr>Benefit Profile 9</vt:lpstr>
      <vt:lpstr>Benefit Profile 10</vt:lpstr>
      <vt:lpstr>Validation Table</vt:lpstr>
      <vt:lpstr>0. PortfolioAgencyLinks</vt:lpstr>
      <vt:lpstr>Attorney_General’s</vt:lpstr>
      <vt:lpstr>'Benefit Profile 1'!Capability</vt:lpstr>
      <vt:lpstr>'Benefit Profile 10'!Capability</vt:lpstr>
      <vt:lpstr>'Benefit Profile 2'!Capability</vt:lpstr>
      <vt:lpstr>'Benefit Profile 3'!Capability</vt:lpstr>
      <vt:lpstr>'Benefit Profile 4'!Capability</vt:lpstr>
      <vt:lpstr>'Benefit Profile 5'!Capability</vt:lpstr>
      <vt:lpstr>'Benefit Profile 6'!Capability</vt:lpstr>
      <vt:lpstr>'Benefit Profile 7'!Capability</vt:lpstr>
      <vt:lpstr>'Benefit Profile 8'!Capability</vt:lpstr>
      <vt:lpstr>'Benefit Profile 9'!Capability</vt:lpstr>
      <vt:lpstr>Capability</vt:lpstr>
      <vt:lpstr>CCEEW</vt:lpstr>
      <vt:lpstr>Climate_Change__Energy__the_Environment_and_Water</vt:lpstr>
      <vt:lpstr>'Benefit Profile 1'!Education</vt:lpstr>
      <vt:lpstr>'Benefit Profile 10'!Education</vt:lpstr>
      <vt:lpstr>'Benefit Profile 2'!Education</vt:lpstr>
      <vt:lpstr>'Benefit Profile 3'!Education</vt:lpstr>
      <vt:lpstr>'Benefit Profile 4'!Education</vt:lpstr>
      <vt:lpstr>'Benefit Profile 5'!Education</vt:lpstr>
      <vt:lpstr>'Benefit Profile 6'!Education</vt:lpstr>
      <vt:lpstr>'Benefit Profile 7'!Education</vt:lpstr>
      <vt:lpstr>'Benefit Profile 8'!Education</vt:lpstr>
      <vt:lpstr>'Benefit Profile 9'!Education</vt:lpstr>
      <vt:lpstr>Education</vt:lpstr>
      <vt:lpstr>'Benefit Profile 1'!Employment</vt:lpstr>
      <vt:lpstr>'Benefit Profile 10'!Employment</vt:lpstr>
      <vt:lpstr>'Benefit Profile 2'!Employment</vt:lpstr>
      <vt:lpstr>'Benefit Profile 3'!Employment</vt:lpstr>
      <vt:lpstr>'Benefit Profile 4'!Employment</vt:lpstr>
      <vt:lpstr>'Benefit Profile 5'!Employment</vt:lpstr>
      <vt:lpstr>'Benefit Profile 6'!Employment</vt:lpstr>
      <vt:lpstr>'Benefit Profile 7'!Employment</vt:lpstr>
      <vt:lpstr>'Benefit Profile 8'!Employment</vt:lpstr>
      <vt:lpstr>'Benefit Profile 9'!Employment</vt:lpstr>
      <vt:lpstr>Employment</vt:lpstr>
      <vt:lpstr>'Benefit Profile 1'!Health</vt:lpstr>
      <vt:lpstr>'Benefit Profile 10'!Health</vt:lpstr>
      <vt:lpstr>'Benefit Profile 2'!Health</vt:lpstr>
      <vt:lpstr>'Benefit Profile 3'!Health</vt:lpstr>
      <vt:lpstr>'Benefit Profile 4'!Health</vt:lpstr>
      <vt:lpstr>'Benefit Profile 5'!Health</vt:lpstr>
      <vt:lpstr>'Benefit Profile 6'!Health</vt:lpstr>
      <vt:lpstr>'Benefit Profile 7'!Health</vt:lpstr>
      <vt:lpstr>'Benefit Profile 8'!Health</vt:lpstr>
      <vt:lpstr>'Benefit Profile 9'!Health</vt:lpstr>
      <vt:lpstr>Health</vt:lpstr>
      <vt:lpstr>'Benefit Profile 1'!Infra</vt:lpstr>
      <vt:lpstr>'Benefit Profile 10'!Infra</vt:lpstr>
      <vt:lpstr>'Benefit Profile 2'!Infra</vt:lpstr>
      <vt:lpstr>'Benefit Profile 3'!Infra</vt:lpstr>
      <vt:lpstr>'Benefit Profile 4'!Infra</vt:lpstr>
      <vt:lpstr>'Benefit Profile 5'!Infra</vt:lpstr>
      <vt:lpstr>'Benefit Profile 6'!Infra</vt:lpstr>
      <vt:lpstr>'Benefit Profile 7'!Infra</vt:lpstr>
      <vt:lpstr>'Benefit Profile 8'!Infra</vt:lpstr>
      <vt:lpstr>'Benefit Profile 9'!Infra</vt:lpstr>
      <vt:lpstr>Infra</vt:lpstr>
      <vt:lpstr>'Benefit Profile 1'!ISR</vt:lpstr>
      <vt:lpstr>'Benefit Profile 10'!ISR</vt:lpstr>
      <vt:lpstr>'Benefit Profile 2'!ISR</vt:lpstr>
      <vt:lpstr>'Benefit Profile 3'!ISR</vt:lpstr>
      <vt:lpstr>'Benefit Profile 4'!ISR</vt:lpstr>
      <vt:lpstr>'Benefit Profile 5'!ISR</vt:lpstr>
      <vt:lpstr>'Benefit Profile 6'!ISR</vt:lpstr>
      <vt:lpstr>'Benefit Profile 7'!ISR</vt:lpstr>
      <vt:lpstr>'Benefit Profile 8'!ISR</vt:lpstr>
      <vt:lpstr>'Benefit Profile 9'!ISR</vt:lpstr>
      <vt:lpstr>ISR</vt:lpstr>
      <vt:lpstr>'Benefit Profile 1'!ITRDCA</vt:lpstr>
      <vt:lpstr>'Benefit Profile 10'!ITRDCA</vt:lpstr>
      <vt:lpstr>'Benefit Profile 2'!ITRDCA</vt:lpstr>
      <vt:lpstr>'Benefit Profile 3'!ITRDCA</vt:lpstr>
      <vt:lpstr>'Benefit Profile 4'!ITRDCA</vt:lpstr>
      <vt:lpstr>'Benefit Profile 5'!ITRDCA</vt:lpstr>
      <vt:lpstr>'Benefit Profile 6'!ITRDCA</vt:lpstr>
      <vt:lpstr>'Benefit Profile 7'!ITRDCA</vt:lpstr>
      <vt:lpstr>'Benefit Profile 8'!ITRDCA</vt:lpstr>
      <vt:lpstr>'Benefit Profile 9'!ITRDCA</vt:lpstr>
      <vt:lpstr>ITRDCA</vt:lpstr>
      <vt:lpstr>'Benefit Profile 1'!Parl</vt:lpstr>
      <vt:lpstr>'Benefit Profile 10'!Parl</vt:lpstr>
      <vt:lpstr>'Benefit Profile 2'!Parl</vt:lpstr>
      <vt:lpstr>'Benefit Profile 3'!Parl</vt:lpstr>
      <vt:lpstr>'Benefit Profile 4'!Parl</vt:lpstr>
      <vt:lpstr>'Benefit Profile 5'!Parl</vt:lpstr>
      <vt:lpstr>'Benefit Profile 6'!Parl</vt:lpstr>
      <vt:lpstr>'Benefit Profile 7'!Parl</vt:lpstr>
      <vt:lpstr>'Benefit Profile 8'!Parl</vt:lpstr>
      <vt:lpstr>'Benefit Profile 9'!Parl</vt:lpstr>
      <vt:lpstr>Parl</vt:lpstr>
      <vt:lpstr>'Benefit Profile 1'!PMC</vt:lpstr>
      <vt:lpstr>'Benefit Profile 10'!PMC</vt:lpstr>
      <vt:lpstr>'Benefit Profile 2'!PMC</vt:lpstr>
      <vt:lpstr>'Benefit Profile 3'!PMC</vt:lpstr>
      <vt:lpstr>'Benefit Profile 4'!PMC</vt:lpstr>
      <vt:lpstr>'Benefit Profile 5'!PMC</vt:lpstr>
      <vt:lpstr>'Benefit Profile 6'!PMC</vt:lpstr>
      <vt:lpstr>'Benefit Profile 7'!PMC</vt:lpstr>
      <vt:lpstr>'Benefit Profile 8'!PMC</vt:lpstr>
      <vt:lpstr>'Benefit Profile 9'!PMC</vt:lpstr>
      <vt:lpstr>PMC</vt:lpstr>
      <vt:lpstr>'Benefit Profile 1'!Print_Area</vt:lpstr>
      <vt:lpstr>'Benefit Profile 10'!Print_Area</vt:lpstr>
      <vt:lpstr>'Benefit Profile 2'!Print_Area</vt:lpstr>
      <vt:lpstr>'Benefit Profile 3'!Print_Area</vt:lpstr>
      <vt:lpstr>'Benefit Profile 4'!Print_Area</vt:lpstr>
      <vt:lpstr>'Benefit Profile 5'!Print_Area</vt:lpstr>
      <vt:lpstr>'Benefit Profile 6'!Print_Area</vt:lpstr>
      <vt:lpstr>'Benefit Profile 7'!Print_Area</vt:lpstr>
      <vt:lpstr>'Benefit Profile 8'!Print_Area</vt:lpstr>
      <vt:lpstr>'Benefit Profile 9'!Print_Area</vt:lpstr>
      <vt:lpstr>'Guidance '!Print_Area</vt:lpstr>
      <vt:lpstr>'READ ME'!Print_Area</vt:lpstr>
      <vt:lpstr>'Benefit Profile 1'!Social</vt:lpstr>
      <vt:lpstr>'Benefit Profile 10'!Social</vt:lpstr>
      <vt:lpstr>'Benefit Profile 2'!Social</vt:lpstr>
      <vt:lpstr>'Benefit Profile 3'!Social</vt:lpstr>
      <vt:lpstr>'Benefit Profile 4'!Social</vt:lpstr>
      <vt:lpstr>'Benefit Profile 5'!Social</vt:lpstr>
      <vt:lpstr>'Benefit Profile 6'!Social</vt:lpstr>
      <vt:lpstr>'Benefit Profile 7'!Social</vt:lpstr>
      <vt:lpstr>'Benefit Profile 8'!Social</vt:lpstr>
      <vt:lpstr>'Benefit Profile 9'!Social</vt:lpstr>
      <vt:lpstr>Social</vt:lpstr>
      <vt:lpstr>'Benefit Profile 1'!Treasury</vt:lpstr>
      <vt:lpstr>'Benefit Profile 10'!Treasury</vt:lpstr>
      <vt:lpstr>'Benefit Profile 2'!Treasury</vt:lpstr>
      <vt:lpstr>'Benefit Profile 3'!Treasury</vt:lpstr>
      <vt:lpstr>'Benefit Profile 4'!Treasury</vt:lpstr>
      <vt:lpstr>'Benefit Profile 5'!Treasury</vt:lpstr>
      <vt:lpstr>'Benefit Profile 6'!Treasury</vt:lpstr>
      <vt:lpstr>'Benefit Profile 7'!Treasury</vt:lpstr>
      <vt:lpstr>'Benefit Profile 8'!Treasury</vt:lpstr>
      <vt:lpstr>'Benefit Profile 9'!Treasury</vt:lpstr>
      <vt:lpstr>Treasury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Benefit Profile Template</dc:title>
  <dc:subject/>
  <dc:creator>Clara Connors</dc:creator>
  <cp:keywords/>
  <dc:description/>
  <cp:lastModifiedBy>Simone Miller</cp:lastModifiedBy>
  <cp:revision/>
  <dcterms:created xsi:type="dcterms:W3CDTF">2023-09-28T04:15:01Z</dcterms:created>
  <dcterms:modified xsi:type="dcterms:W3CDTF">2025-01-20T03:39:46Z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482f89-686c-4423-b970-d4c069cb673b_Enabled">
    <vt:lpwstr>true</vt:lpwstr>
  </property>
  <property fmtid="{D5CDD505-2E9C-101B-9397-08002B2CF9AE}" pid="3" name="MSIP_Label_5b482f89-686c-4423-b970-d4c069cb673b_SetDate">
    <vt:lpwstr>2023-09-28T04:15:44Z</vt:lpwstr>
  </property>
  <property fmtid="{D5CDD505-2E9C-101B-9397-08002B2CF9AE}" pid="4" name="MSIP_Label_5b482f89-686c-4423-b970-d4c069cb673b_Method">
    <vt:lpwstr>Privileged</vt:lpwstr>
  </property>
  <property fmtid="{D5CDD505-2E9C-101B-9397-08002B2CF9AE}" pid="5" name="MSIP_Label_5b482f89-686c-4423-b970-d4c069cb673b_Name">
    <vt:lpwstr>For Official Use Only (FOUO)</vt:lpwstr>
  </property>
  <property fmtid="{D5CDD505-2E9C-101B-9397-08002B2CF9AE}" pid="6" name="MSIP_Label_5b482f89-686c-4423-b970-d4c069cb673b_SiteId">
    <vt:lpwstr>f87adb37-069d-44ab-b352-f6d61ecc6db2</vt:lpwstr>
  </property>
  <property fmtid="{D5CDD505-2E9C-101B-9397-08002B2CF9AE}" pid="7" name="MSIP_Label_5b482f89-686c-4423-b970-d4c069cb673b_ActionId">
    <vt:lpwstr>6cf8ab8a-3f99-4cd7-b34b-94b5313b6b65</vt:lpwstr>
  </property>
  <property fmtid="{D5CDD505-2E9C-101B-9397-08002B2CF9AE}" pid="8" name="MSIP_Label_5b482f89-686c-4423-b970-d4c069cb673b_ContentBits">
    <vt:lpwstr>3</vt:lpwstr>
  </property>
  <property fmtid="{D5CDD505-2E9C-101B-9397-08002B2CF9AE}" pid="9" name="ContentTypeId">
    <vt:lpwstr>0x010100ACCE801B185E9C47A8E90B22741C659801009F81FE64BEC4F14F86B0BC9A39446A5B</vt:lpwstr>
  </property>
  <property fmtid="{D5CDD505-2E9C-101B-9397-08002B2CF9AE}" pid="10" name="_dlc_DocIdItemGuid">
    <vt:lpwstr>ad7ddae7-0cdf-4ac5-b191-833c1202cbb1</vt:lpwstr>
  </property>
  <property fmtid="{D5CDD505-2E9C-101B-9397-08002B2CF9AE}" pid="11" name="TaxKeyword">
    <vt:lpwstr/>
  </property>
  <property fmtid="{D5CDD505-2E9C-101B-9397-08002B2CF9AE}" pid="12" name="Record Area">
    <vt:lpwstr/>
  </property>
  <property fmtid="{D5CDD505-2E9C-101B-9397-08002B2CF9AE}" pid="13" name="MediaServiceImageTags">
    <vt:lpwstr/>
  </property>
  <property fmtid="{D5CDD505-2E9C-101B-9397-08002B2CF9AE}" pid="14" name="InformationManagement">
    <vt:lpwstr/>
  </property>
  <property fmtid="{D5CDD505-2E9C-101B-9397-08002B2CF9AE}" pid="15" name="RecordType">
    <vt:lpwstr/>
  </property>
  <property fmtid="{D5CDD505-2E9C-101B-9397-08002B2CF9AE}" pid="16" name="Record_x0020_Area">
    <vt:lpwstr/>
  </property>
  <property fmtid="{D5CDD505-2E9C-101B-9397-08002B2CF9AE}" pid="17" name="RecordAuthority">
    <vt:lpwstr/>
  </property>
</Properties>
</file>